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1. Assignments\6. Ashiwini Mittal Sir- Nabcons\25. Reefer Van\"/>
    </mc:Choice>
  </mc:AlternateContent>
  <xr:revisionPtr revIDLastSave="0" documentId="13_ncr:1_{E43C2DF3-4EBE-404D-B4BD-52D1323F1AEF}" xr6:coauthVersionLast="47" xr6:coauthVersionMax="47" xr10:uidLastSave="{00000000-0000-0000-0000-000000000000}"/>
  <bookViews>
    <workbookView xWindow="-110" yWindow="-110" windowWidth="19420" windowHeight="11020" firstSheet="5" activeTab="5" xr2:uid="{8B0049CE-B79C-4EF0-8FA8-FBBF9BECEBD1}"/>
  </bookViews>
  <sheets>
    <sheet name="Contents" sheetId="21" r:id="rId1"/>
    <sheet name="Ann 1" sheetId="1" r:id="rId2"/>
    <sheet name="Ann 2" sheetId="2" r:id="rId3"/>
    <sheet name="Ann 3" sheetId="3" r:id="rId4"/>
    <sheet name="Ann 4" sheetId="4" r:id="rId5"/>
    <sheet name="Ann 5" sheetId="7" r:id="rId6"/>
    <sheet name="Ann 6" sheetId="23" r:id="rId7"/>
    <sheet name="Ann 8" sheetId="9" r:id="rId8"/>
    <sheet name="Ann 9" sheetId="10" r:id="rId9"/>
    <sheet name="Ann 10" sheetId="13" r:id="rId10"/>
    <sheet name="Ann 11" sheetId="11" r:id="rId11"/>
    <sheet name="Ann 12" sheetId="12" state="hidden" r:id="rId12"/>
    <sheet name="Ann 13" sheetId="14" r:id="rId13"/>
    <sheet name="Ann 14" sheetId="18" r:id="rId14"/>
    <sheet name="Budgets" sheetId="19" r:id="rId15"/>
    <sheet name="For word file" sheetId="20" state="hidden" r:id="rId16"/>
    <sheet name="Assumptions" sheetId="22" r:id="rId17"/>
    <sheet name="Sheet1" sheetId="15" state="hidden"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0" i="4" l="1"/>
  <c r="B11" i="19"/>
  <c r="B20" i="19"/>
  <c r="C23" i="4" s="1"/>
  <c r="E7" i="9"/>
  <c r="D10" i="4"/>
  <c r="E10" i="4" s="1"/>
  <c r="F10" i="4" s="1"/>
  <c r="G10" i="4" s="1"/>
  <c r="H10" i="4" s="1"/>
  <c r="I10" i="4" s="1"/>
  <c r="J10" i="4" s="1"/>
  <c r="K10" i="4" s="1"/>
  <c r="E6" i="9"/>
  <c r="C22" i="11"/>
  <c r="A9" i="21"/>
  <c r="C10" i="23"/>
  <c r="C11" i="23" s="1"/>
  <c r="C12" i="23" s="1"/>
  <c r="C11" i="4" s="1"/>
  <c r="B15" i="19"/>
  <c r="B14" i="19"/>
  <c r="E8" i="3"/>
  <c r="E4" i="3"/>
  <c r="D23" i="4" l="1"/>
  <c r="C8" i="23"/>
  <c r="B16" i="19"/>
  <c r="E23" i="4" l="1"/>
  <c r="D11" i="4"/>
  <c r="E11" i="4" s="1"/>
  <c r="F11" i="4" s="1"/>
  <c r="G11" i="4" s="1"/>
  <c r="H11" i="4" s="1"/>
  <c r="I11" i="4" s="1"/>
  <c r="J11" i="4" s="1"/>
  <c r="K11" i="4" s="1"/>
  <c r="F23" i="4" l="1"/>
  <c r="A5" i="21"/>
  <c r="C23" i="11"/>
  <c r="G23" i="4" l="1"/>
  <c r="A17" i="21"/>
  <c r="A16" i="21"/>
  <c r="A15" i="21"/>
  <c r="A14" i="21"/>
  <c r="A13" i="21"/>
  <c r="A8" i="21"/>
  <c r="A7" i="21"/>
  <c r="A6" i="21"/>
  <c r="A4" i="21"/>
  <c r="F5" i="19"/>
  <c r="G7" i="4" s="1"/>
  <c r="G24" i="7" s="1"/>
  <c r="E6" i="3"/>
  <c r="B8" i="18"/>
  <c r="C29" i="1"/>
  <c r="C20" i="11"/>
  <c r="C24" i="11" s="1"/>
  <c r="C35" i="1"/>
  <c r="C32" i="4"/>
  <c r="B13" i="18" s="1"/>
  <c r="E15" i="9"/>
  <c r="H23" i="4" l="1"/>
  <c r="B5" i="19"/>
  <c r="G9" i="4"/>
  <c r="F6" i="19"/>
  <c r="F29" i="19"/>
  <c r="E12" i="10"/>
  <c r="E13" i="10" s="1"/>
  <c r="C5" i="19"/>
  <c r="D7" i="4" s="1"/>
  <c r="D24" i="7" s="1"/>
  <c r="D5" i="19"/>
  <c r="E7" i="4" s="1"/>
  <c r="E24" i="7" s="1"/>
  <c r="J5" i="19"/>
  <c r="K7" i="4" s="1"/>
  <c r="K24" i="7" s="1"/>
  <c r="I5" i="19"/>
  <c r="J7" i="4" s="1"/>
  <c r="J24" i="7" s="1"/>
  <c r="E5" i="19"/>
  <c r="F7" i="4" s="1"/>
  <c r="F24" i="7" s="1"/>
  <c r="H5" i="19"/>
  <c r="I7" i="4" s="1"/>
  <c r="I24" i="7" s="1"/>
  <c r="G5" i="19"/>
  <c r="H7" i="4" s="1"/>
  <c r="H24" i="7" s="1"/>
  <c r="D28" i="4"/>
  <c r="E28" i="4"/>
  <c r="F28" i="4"/>
  <c r="G28" i="4"/>
  <c r="H28" i="4"/>
  <c r="I28" i="4"/>
  <c r="J28" i="4"/>
  <c r="K28" i="4"/>
  <c r="C28" i="4"/>
  <c r="C7" i="2"/>
  <c r="I23" i="4" l="1"/>
  <c r="C7" i="4"/>
  <c r="C24" i="7" s="1"/>
  <c r="F7" i="19"/>
  <c r="J29" i="19"/>
  <c r="K9" i="4"/>
  <c r="D9" i="4"/>
  <c r="F9" i="4"/>
  <c r="J9" i="4"/>
  <c r="H9" i="4"/>
  <c r="E9" i="4"/>
  <c r="I9" i="4"/>
  <c r="F30" i="19"/>
  <c r="D29" i="19"/>
  <c r="D6" i="19"/>
  <c r="C29" i="19"/>
  <c r="C6" i="19"/>
  <c r="E6" i="19"/>
  <c r="E29" i="19"/>
  <c r="B29" i="19"/>
  <c r="B6" i="19"/>
  <c r="B7" i="19" s="1"/>
  <c r="G29" i="19"/>
  <c r="G6" i="19"/>
  <c r="H6" i="19"/>
  <c r="H29" i="19"/>
  <c r="I6" i="19"/>
  <c r="I29" i="19"/>
  <c r="B4" i="18"/>
  <c r="D8" i="11"/>
  <c r="C25" i="11" s="1"/>
  <c r="E14" i="10"/>
  <c r="B23" i="19"/>
  <c r="J23" i="4" l="1"/>
  <c r="C9" i="4"/>
  <c r="I7" i="19"/>
  <c r="C7" i="19"/>
  <c r="H7" i="19"/>
  <c r="I22" i="4" s="1"/>
  <c r="I18" i="4" s="1"/>
  <c r="E7" i="19"/>
  <c r="G7" i="19"/>
  <c r="H22" i="4" s="1"/>
  <c r="D7" i="19"/>
  <c r="E22" i="4" s="1"/>
  <c r="C30" i="19"/>
  <c r="G30" i="19"/>
  <c r="B30" i="19"/>
  <c r="I30" i="19"/>
  <c r="E30" i="19"/>
  <c r="H30" i="19"/>
  <c r="D30" i="19"/>
  <c r="G22" i="4"/>
  <c r="E15" i="10"/>
  <c r="A12" i="21"/>
  <c r="A11" i="21"/>
  <c r="A10" i="21"/>
  <c r="K47" i="7"/>
  <c r="J47" i="7"/>
  <c r="D23" i="7"/>
  <c r="E23" i="7"/>
  <c r="F23" i="7"/>
  <c r="G23" i="7"/>
  <c r="H23" i="7"/>
  <c r="I23" i="7"/>
  <c r="I34" i="7" s="1"/>
  <c r="J23" i="7"/>
  <c r="J34" i="7" s="1"/>
  <c r="K23" i="7"/>
  <c r="K34" i="7" s="1"/>
  <c r="C23" i="7"/>
  <c r="I12" i="7" l="1"/>
  <c r="I9" i="18" s="1"/>
  <c r="E18" i="4"/>
  <c r="E12" i="7"/>
  <c r="E9" i="18" s="1"/>
  <c r="G18" i="4"/>
  <c r="G12" i="7"/>
  <c r="G9" i="18" s="1"/>
  <c r="H18" i="4"/>
  <c r="H12" i="7"/>
  <c r="H9" i="18" s="1"/>
  <c r="K23" i="4"/>
  <c r="D22" i="4"/>
  <c r="J22" i="4"/>
  <c r="J18" i="4" s="1"/>
  <c r="F22" i="4"/>
  <c r="C22" i="4"/>
  <c r="B31" i="19"/>
  <c r="C14" i="4" s="1"/>
  <c r="E16" i="10"/>
  <c r="E17" i="10" s="1"/>
  <c r="C24" i="18"/>
  <c r="K24" i="18"/>
  <c r="J24" i="18"/>
  <c r="I24" i="18"/>
  <c r="H24" i="18"/>
  <c r="G24" i="18"/>
  <c r="F24" i="18"/>
  <c r="E24" i="18"/>
  <c r="D24" i="18"/>
  <c r="J12" i="7" l="1"/>
  <c r="J9" i="18" s="1"/>
  <c r="C18" i="4"/>
  <c r="C12" i="7"/>
  <c r="C9" i="18" s="1"/>
  <c r="F18" i="4"/>
  <c r="F12" i="7"/>
  <c r="F9" i="18" s="1"/>
  <c r="D18" i="4"/>
  <c r="D12" i="7"/>
  <c r="D9" i="18" s="1"/>
  <c r="C28" i="19"/>
  <c r="C31" i="19" s="1"/>
  <c r="D14" i="4" s="1"/>
  <c r="E18" i="10"/>
  <c r="E19" i="10" s="1"/>
  <c r="E20" i="10" s="1"/>
  <c r="I41" i="7"/>
  <c r="J41" i="7"/>
  <c r="K41" i="7"/>
  <c r="D28" i="19" l="1"/>
  <c r="D31" i="19" s="1"/>
  <c r="E14" i="4" s="1"/>
  <c r="D13" i="4"/>
  <c r="C13" i="7"/>
  <c r="C19" i="1"/>
  <c r="D13" i="7" l="1"/>
  <c r="E13" i="4"/>
  <c r="E28" i="19"/>
  <c r="E31" i="19" s="1"/>
  <c r="F14" i="4" s="1"/>
  <c r="F13" i="4" l="1"/>
  <c r="E13" i="7"/>
  <c r="F28" i="19"/>
  <c r="F31" i="19" s="1"/>
  <c r="G14" i="4" s="1"/>
  <c r="G28" i="19" l="1"/>
  <c r="G31" i="19" s="1"/>
  <c r="H14" i="4" s="1"/>
  <c r="G13" i="4"/>
  <c r="F13" i="7"/>
  <c r="G13" i="7" l="1"/>
  <c r="H13" i="4"/>
  <c r="H28" i="19"/>
  <c r="H31" i="19" s="1"/>
  <c r="I14" i="4" s="1"/>
  <c r="K29" i="7"/>
  <c r="E5" i="11"/>
  <c r="B3" i="20"/>
  <c r="D7" i="11" l="1"/>
  <c r="E9" i="11" s="1"/>
  <c r="I28" i="19"/>
  <c r="I31" i="19" s="1"/>
  <c r="J14" i="4" s="1"/>
  <c r="I13" i="4"/>
  <c r="H13" i="7"/>
  <c r="I29" i="7"/>
  <c r="G29" i="7"/>
  <c r="J29" i="7"/>
  <c r="H29" i="7"/>
  <c r="C29" i="7"/>
  <c r="G3" i="20"/>
  <c r="C3" i="20"/>
  <c r="D3" i="20"/>
  <c r="I3" i="20"/>
  <c r="H3" i="20"/>
  <c r="E3" i="20"/>
  <c r="F3" i="20"/>
  <c r="J13" i="4" l="1"/>
  <c r="I13" i="7"/>
  <c r="J28" i="19"/>
  <c r="J6" i="19" s="1"/>
  <c r="D29" i="7"/>
  <c r="E29" i="7"/>
  <c r="F29" i="7"/>
  <c r="J7" i="19" l="1"/>
  <c r="J30" i="19"/>
  <c r="K13" i="4"/>
  <c r="J13" i="7"/>
  <c r="C12" i="1"/>
  <c r="J29" i="4"/>
  <c r="K29" i="4"/>
  <c r="K14" i="18" s="1"/>
  <c r="J14" i="18" l="1"/>
  <c r="J46" i="7"/>
  <c r="K46" i="7"/>
  <c r="C26" i="11" l="1"/>
  <c r="J48" i="7"/>
  <c r="K48" i="7"/>
  <c r="C20" i="1"/>
  <c r="F8" i="10"/>
  <c r="F7" i="10"/>
  <c r="E8" i="9"/>
  <c r="E10" i="9" s="1"/>
  <c r="C9" i="1"/>
  <c r="D6" i="10" l="1"/>
  <c r="D12" i="10" s="1"/>
  <c r="D13" i="10" s="1"/>
  <c r="D14" i="10" s="1"/>
  <c r="D11" i="18"/>
  <c r="E11" i="18"/>
  <c r="C3" i="15"/>
  <c r="K6" i="12"/>
  <c r="E5" i="12"/>
  <c r="H6" i="12"/>
  <c r="E6" i="12"/>
  <c r="D6" i="12"/>
  <c r="F6" i="12"/>
  <c r="F5" i="12"/>
  <c r="G5" i="12"/>
  <c r="I6" i="12"/>
  <c r="E11" i="9" l="1"/>
  <c r="E11" i="11" s="1"/>
  <c r="F3" i="15"/>
  <c r="F11" i="18"/>
  <c r="E3" i="15"/>
  <c r="D3" i="15"/>
  <c r="H5" i="12"/>
  <c r="J5" i="12"/>
  <c r="C6" i="12"/>
  <c r="J6" i="12"/>
  <c r="D5" i="12"/>
  <c r="I5" i="12"/>
  <c r="C5" i="12"/>
  <c r="G6" i="12"/>
  <c r="K5" i="12"/>
  <c r="D15" i="10"/>
  <c r="D16" i="10" s="1"/>
  <c r="D17" i="10" s="1"/>
  <c r="E13" i="9" l="1"/>
  <c r="C17" i="4"/>
  <c r="G11" i="18"/>
  <c r="D18" i="10"/>
  <c r="D17" i="4" l="1"/>
  <c r="E17" i="4" s="1"/>
  <c r="F17" i="4" s="1"/>
  <c r="G17" i="4" s="1"/>
  <c r="H17" i="4" s="1"/>
  <c r="I17" i="4" s="1"/>
  <c r="J17" i="4" s="1"/>
  <c r="K17" i="4" s="1"/>
  <c r="C19" i="4"/>
  <c r="H11" i="18"/>
  <c r="G3" i="15"/>
  <c r="D19" i="10"/>
  <c r="D20" i="10" s="1"/>
  <c r="D19" i="4" l="1"/>
  <c r="D10" i="18"/>
  <c r="I11" i="18"/>
  <c r="H3" i="15"/>
  <c r="E19" i="4" l="1"/>
  <c r="E10" i="18"/>
  <c r="J11" i="18"/>
  <c r="I3" i="15"/>
  <c r="F19" i="4" l="1"/>
  <c r="F10" i="18"/>
  <c r="K11" i="18"/>
  <c r="G19" i="4" l="1"/>
  <c r="G10" i="18"/>
  <c r="H19" i="4" l="1"/>
  <c r="H10" i="18"/>
  <c r="I19" i="4" l="1"/>
  <c r="I10" i="18"/>
  <c r="J19" i="4" l="1"/>
  <c r="J10" i="18"/>
  <c r="K10" i="18" l="1"/>
  <c r="J3" i="15" l="1"/>
  <c r="C6" i="10" l="1"/>
  <c r="F6" i="10" s="1"/>
  <c r="F9" i="10" s="1"/>
  <c r="C16" i="1"/>
  <c r="C37" i="1" s="1"/>
  <c r="C12" i="10" l="1"/>
  <c r="C10" i="7" s="1"/>
  <c r="C8" i="2"/>
  <c r="F12" i="10"/>
  <c r="E12" i="11" s="1"/>
  <c r="C13" i="10"/>
  <c r="C14" i="10" s="1"/>
  <c r="D10" i="13" s="1"/>
  <c r="C33" i="4"/>
  <c r="B10" i="13"/>
  <c r="C9" i="7"/>
  <c r="C11" i="7" s="1"/>
  <c r="C40" i="7" s="1"/>
  <c r="B7" i="18"/>
  <c r="B27" i="18" s="1"/>
  <c r="B28" i="18" s="1"/>
  <c r="C8" i="4"/>
  <c r="C12" i="4" s="1"/>
  <c r="C7" i="15"/>
  <c r="C4" i="2" l="1"/>
  <c r="F14" i="10"/>
  <c r="C15" i="10"/>
  <c r="E10" i="13" s="1"/>
  <c r="E33" i="4"/>
  <c r="D9" i="7"/>
  <c r="E10" i="7"/>
  <c r="F13" i="10"/>
  <c r="C10" i="13"/>
  <c r="D33" i="4"/>
  <c r="D10" i="7"/>
  <c r="D8" i="4"/>
  <c r="D12" i="4" s="1"/>
  <c r="E15" i="11"/>
  <c r="C6" i="2" l="1"/>
  <c r="B6" i="18" s="1"/>
  <c r="C18" i="7"/>
  <c r="B5" i="18"/>
  <c r="F33" i="4"/>
  <c r="F15" i="10"/>
  <c r="C16" i="10"/>
  <c r="C17" i="10" s="1"/>
  <c r="H33" i="4" s="1"/>
  <c r="F10" i="7"/>
  <c r="D11" i="7"/>
  <c r="E8" i="4"/>
  <c r="E12" i="4" s="1"/>
  <c r="C15" i="4"/>
  <c r="C21" i="4" s="1"/>
  <c r="C24" i="4" s="1"/>
  <c r="C12" i="18"/>
  <c r="B25" i="18" l="1"/>
  <c r="B26" i="18" s="1"/>
  <c r="B31" i="18" s="1"/>
  <c r="B15" i="18"/>
  <c r="B21" i="18"/>
  <c r="C4" i="18" s="1"/>
  <c r="C25" i="18" s="1"/>
  <c r="C26" i="18" s="1"/>
  <c r="D4" i="14"/>
  <c r="D11" i="14" s="1"/>
  <c r="G10" i="13"/>
  <c r="F10" i="13"/>
  <c r="H10" i="7"/>
  <c r="G10" i="7"/>
  <c r="C18" i="10"/>
  <c r="I10" i="7" s="1"/>
  <c r="F17" i="10"/>
  <c r="G33" i="4"/>
  <c r="F16" i="10"/>
  <c r="E9" i="7"/>
  <c r="E11" i="7" s="1"/>
  <c r="D40" i="7"/>
  <c r="B4" i="20"/>
  <c r="B5" i="20" s="1"/>
  <c r="B6" i="20" s="1"/>
  <c r="F8" i="4"/>
  <c r="F12" i="4" s="1"/>
  <c r="D12" i="18"/>
  <c r="D15" i="4"/>
  <c r="D21" i="4" s="1"/>
  <c r="D24" i="4" s="1"/>
  <c r="D12" i="14" l="1"/>
  <c r="D13" i="14" s="1"/>
  <c r="B30" i="18"/>
  <c r="C11" i="14"/>
  <c r="C10" i="14"/>
  <c r="E10" i="14" s="1"/>
  <c r="C9" i="14"/>
  <c r="E9" i="14" s="1"/>
  <c r="F18" i="10"/>
  <c r="H10" i="13"/>
  <c r="I33" i="4"/>
  <c r="C19" i="10"/>
  <c r="I10" i="13" s="1"/>
  <c r="F9" i="7"/>
  <c r="F11" i="7" s="1"/>
  <c r="E40" i="7"/>
  <c r="C49" i="7"/>
  <c r="C4" i="20"/>
  <c r="C5" i="20" s="1"/>
  <c r="C6" i="20" s="1"/>
  <c r="G8" i="4"/>
  <c r="G12" i="4" s="1"/>
  <c r="E12" i="18"/>
  <c r="E15" i="4"/>
  <c r="E21" i="4" s="1"/>
  <c r="E24" i="4" s="1"/>
  <c r="C20" i="18" l="1"/>
  <c r="C47" i="7"/>
  <c r="D14" i="14"/>
  <c r="C12" i="14"/>
  <c r="E11" i="14"/>
  <c r="C20" i="10"/>
  <c r="K33" i="4" s="1"/>
  <c r="J33" i="4"/>
  <c r="J10" i="7"/>
  <c r="F19" i="10"/>
  <c r="G9" i="7"/>
  <c r="G11" i="7" s="1"/>
  <c r="F40" i="7"/>
  <c r="H8" i="4"/>
  <c r="H12" i="4" s="1"/>
  <c r="F12" i="18"/>
  <c r="F15" i="4"/>
  <c r="F21" i="4" s="1"/>
  <c r="F24" i="4" s="1"/>
  <c r="D49" i="7"/>
  <c r="D4" i="20"/>
  <c r="D5" i="20" s="1"/>
  <c r="D6" i="20" s="1"/>
  <c r="D15" i="14" l="1"/>
  <c r="J10" i="13"/>
  <c r="F20" i="10"/>
  <c r="K10" i="7"/>
  <c r="C13" i="14"/>
  <c r="E12" i="14"/>
  <c r="G40" i="7"/>
  <c r="H9" i="7"/>
  <c r="H11" i="7" s="1"/>
  <c r="E4" i="20"/>
  <c r="E5" i="20" s="1"/>
  <c r="E6" i="20" s="1"/>
  <c r="E49" i="7"/>
  <c r="I8" i="4"/>
  <c r="I12" i="4" s="1"/>
  <c r="G15" i="4"/>
  <c r="G21" i="4" s="1"/>
  <c r="G24" i="4" s="1"/>
  <c r="G12" i="18"/>
  <c r="D16" i="14" l="1"/>
  <c r="D47" i="7" s="1"/>
  <c r="E16" i="11"/>
  <c r="E17" i="11" s="1"/>
  <c r="C27" i="11" s="1"/>
  <c r="C28" i="11" s="1"/>
  <c r="C27" i="4"/>
  <c r="C29" i="4" s="1"/>
  <c r="E13" i="14"/>
  <c r="C22" i="7"/>
  <c r="C14" i="14"/>
  <c r="H40" i="7"/>
  <c r="I9" i="7"/>
  <c r="I11" i="7" s="1"/>
  <c r="F4" i="20"/>
  <c r="F5" i="20" s="1"/>
  <c r="F6" i="20" s="1"/>
  <c r="F49" i="7"/>
  <c r="H12" i="18"/>
  <c r="H15" i="4"/>
  <c r="H21" i="4" s="1"/>
  <c r="H24" i="4" s="1"/>
  <c r="J8" i="4"/>
  <c r="J12" i="4" s="1"/>
  <c r="D20" i="18" l="1"/>
  <c r="D17" i="14"/>
  <c r="E14" i="14"/>
  <c r="C15" i="14"/>
  <c r="C46" i="7"/>
  <c r="C48" i="7" s="1"/>
  <c r="C50" i="7" s="1"/>
  <c r="C14" i="18"/>
  <c r="C15" i="18" s="1"/>
  <c r="C31" i="4"/>
  <c r="C41" i="7"/>
  <c r="C42" i="7" s="1"/>
  <c r="C34" i="7"/>
  <c r="J9" i="7"/>
  <c r="J11" i="7" s="1"/>
  <c r="I40" i="7"/>
  <c r="I42" i="7" s="1"/>
  <c r="G49" i="7"/>
  <c r="I15" i="4"/>
  <c r="I21" i="4" s="1"/>
  <c r="I24" i="4" s="1"/>
  <c r="I12" i="18"/>
  <c r="G4" i="20"/>
  <c r="G5" i="20" s="1"/>
  <c r="G6" i="20" s="1"/>
  <c r="K8" i="4"/>
  <c r="K12" i="4" s="1"/>
  <c r="D18" i="14" l="1"/>
  <c r="C34" i="4"/>
  <c r="B7" i="13"/>
  <c r="B9" i="13" s="1"/>
  <c r="B11" i="13" s="1"/>
  <c r="B13" i="13" s="1"/>
  <c r="B14" i="13" s="1"/>
  <c r="C35" i="4" s="1"/>
  <c r="C16" i="18" s="1"/>
  <c r="C17" i="18" s="1"/>
  <c r="E15" i="14"/>
  <c r="C16" i="14"/>
  <c r="K9" i="7"/>
  <c r="K11" i="7" s="1"/>
  <c r="K40" i="7" s="1"/>
  <c r="K42" i="7" s="1"/>
  <c r="J40" i="7"/>
  <c r="J42" i="7" s="1"/>
  <c r="H49" i="7"/>
  <c r="H4" i="20"/>
  <c r="H5" i="20" s="1"/>
  <c r="H6" i="20" s="1"/>
  <c r="J12" i="18"/>
  <c r="J15" i="4"/>
  <c r="J21" i="4" s="1"/>
  <c r="J24" i="4" s="1"/>
  <c r="D19" i="14" l="1"/>
  <c r="E16" i="14"/>
  <c r="D27" i="4" s="1"/>
  <c r="D29" i="4" s="1"/>
  <c r="C17" i="14"/>
  <c r="C36" i="4"/>
  <c r="B7" i="20"/>
  <c r="I49" i="7"/>
  <c r="I4" i="20"/>
  <c r="I5" i="20" s="1"/>
  <c r="I6" i="20" s="1"/>
  <c r="D20" i="14" l="1"/>
  <c r="E47" i="7" s="1"/>
  <c r="D46" i="7"/>
  <c r="D48" i="7" s="1"/>
  <c r="D50" i="7" s="1"/>
  <c r="D14" i="18"/>
  <c r="D31" i="4"/>
  <c r="C18" i="14"/>
  <c r="E17" i="14"/>
  <c r="D22" i="7"/>
  <c r="B8" i="20"/>
  <c r="C37" i="4"/>
  <c r="C18" i="18" s="1"/>
  <c r="J49" i="7"/>
  <c r="J50" i="7" s="1"/>
  <c r="J31" i="4"/>
  <c r="E20" i="18" l="1"/>
  <c r="D21" i="14"/>
  <c r="D34" i="7"/>
  <c r="D41" i="7"/>
  <c r="D42" i="7" s="1"/>
  <c r="C19" i="14"/>
  <c r="E18" i="14"/>
  <c r="C7" i="13"/>
  <c r="C9" i="13" s="1"/>
  <c r="C11" i="13" s="1"/>
  <c r="C13" i="13" s="1"/>
  <c r="C14" i="13" s="1"/>
  <c r="D35" i="4" s="1"/>
  <c r="D16" i="18" s="1"/>
  <c r="D34" i="4"/>
  <c r="C27" i="18"/>
  <c r="C19" i="18"/>
  <c r="C21" i="18" s="1"/>
  <c r="C38" i="4"/>
  <c r="C19" i="7" s="1"/>
  <c r="C21" i="7" s="1"/>
  <c r="I7" i="13"/>
  <c r="I9" i="13" s="1"/>
  <c r="I11" i="13" s="1"/>
  <c r="I13" i="13" s="1"/>
  <c r="I14" i="13" s="1"/>
  <c r="J35" i="4" s="1"/>
  <c r="J16" i="18" s="1"/>
  <c r="J34" i="4"/>
  <c r="D22" i="14" l="1"/>
  <c r="C14" i="7"/>
  <c r="D4" i="18"/>
  <c r="C30" i="18"/>
  <c r="C31" i="18" s="1"/>
  <c r="C28" i="18"/>
  <c r="D36" i="4"/>
  <c r="C7" i="20"/>
  <c r="C20" i="14"/>
  <c r="E19" i="14"/>
  <c r="C35" i="7"/>
  <c r="C36" i="7" s="1"/>
  <c r="C25" i="7"/>
  <c r="D18" i="7"/>
  <c r="J36" i="4"/>
  <c r="I7" i="20"/>
  <c r="D23" i="14" l="1"/>
  <c r="D37" i="4"/>
  <c r="D18" i="18" s="1"/>
  <c r="D27" i="18" s="1"/>
  <c r="D28" i="18" s="1"/>
  <c r="C8" i="20"/>
  <c r="C21" i="14"/>
  <c r="E20" i="14"/>
  <c r="E27" i="4" s="1"/>
  <c r="E29" i="4" s="1"/>
  <c r="C28" i="7"/>
  <c r="C30" i="7" s="1"/>
  <c r="C15" i="7"/>
  <c r="D25" i="18"/>
  <c r="D15" i="18"/>
  <c r="D17" i="18" s="1"/>
  <c r="I8" i="20"/>
  <c r="J37" i="4"/>
  <c r="J18" i="18" s="1"/>
  <c r="J27" i="18" s="1"/>
  <c r="J28" i="18" s="1"/>
  <c r="D24" i="14" l="1"/>
  <c r="D25" i="14" s="1"/>
  <c r="D19" i="18"/>
  <c r="D21" i="18" s="1"/>
  <c r="E4" i="18" s="1"/>
  <c r="E25" i="18" s="1"/>
  <c r="E26" i="18" s="1"/>
  <c r="D38" i="4"/>
  <c r="D19" i="7" s="1"/>
  <c r="D21" i="7" s="1"/>
  <c r="E18" i="7" s="1"/>
  <c r="D26" i="18"/>
  <c r="D30" i="18"/>
  <c r="D31" i="18" s="1"/>
  <c r="E14" i="18"/>
  <c r="E31" i="4"/>
  <c r="E46" i="7"/>
  <c r="E48" i="7" s="1"/>
  <c r="E50" i="7" s="1"/>
  <c r="E22" i="7"/>
  <c r="C22" i="14"/>
  <c r="E21" i="14"/>
  <c r="J38" i="4"/>
  <c r="J19" i="7" s="1"/>
  <c r="F20" i="18" l="1"/>
  <c r="F47" i="7"/>
  <c r="D26" i="14"/>
  <c r="D27" i="14" s="1"/>
  <c r="D28" i="14" s="1"/>
  <c r="D29" i="14" s="1"/>
  <c r="E15" i="18"/>
  <c r="D14" i="7"/>
  <c r="D25" i="7"/>
  <c r="D35" i="7"/>
  <c r="D36" i="7" s="1"/>
  <c r="E22" i="14"/>
  <c r="C23" i="14"/>
  <c r="E34" i="7"/>
  <c r="E41" i="7"/>
  <c r="E42" i="7" s="1"/>
  <c r="E34" i="4"/>
  <c r="D7" i="13"/>
  <c r="D9" i="13" s="1"/>
  <c r="D11" i="13" s="1"/>
  <c r="D13" i="13" s="1"/>
  <c r="D14" i="13" s="1"/>
  <c r="E35" i="4" s="1"/>
  <c r="E16" i="18" s="1"/>
  <c r="G20" i="18" l="1"/>
  <c r="G47" i="7"/>
  <c r="D30" i="14"/>
  <c r="D31" i="14" s="1"/>
  <c r="D32" i="14" s="1"/>
  <c r="D33" i="14" s="1"/>
  <c r="E17" i="18"/>
  <c r="D15" i="7"/>
  <c r="D28" i="7"/>
  <c r="D30" i="7" s="1"/>
  <c r="E36" i="4"/>
  <c r="D7" i="20"/>
  <c r="E23" i="14"/>
  <c r="C24" i="14"/>
  <c r="H20" i="18" l="1"/>
  <c r="H47" i="7"/>
  <c r="D34" i="14"/>
  <c r="D35" i="14" s="1"/>
  <c r="D36" i="14" s="1"/>
  <c r="I20" i="18" s="1"/>
  <c r="C25" i="14"/>
  <c r="E24" i="14"/>
  <c r="F27" i="4" s="1"/>
  <c r="F29" i="4" s="1"/>
  <c r="D8" i="20"/>
  <c r="E37" i="4"/>
  <c r="E18" i="18" s="1"/>
  <c r="I47" i="7" l="1"/>
  <c r="E27" i="18"/>
  <c r="E19" i="18"/>
  <c r="E21" i="18" s="1"/>
  <c r="F14" i="18"/>
  <c r="F31" i="4"/>
  <c r="F46" i="7"/>
  <c r="F48" i="7" s="1"/>
  <c r="F50" i="7" s="1"/>
  <c r="F22" i="7"/>
  <c r="C26" i="14"/>
  <c r="E25" i="14"/>
  <c r="E38" i="4"/>
  <c r="E19" i="7" s="1"/>
  <c r="E21" i="7" s="1"/>
  <c r="C27" i="14" l="1"/>
  <c r="E26" i="14"/>
  <c r="E14" i="7"/>
  <c r="F4" i="18"/>
  <c r="F41" i="7"/>
  <c r="F42" i="7" s="1"/>
  <c r="F34" i="7"/>
  <c r="F34" i="4"/>
  <c r="E7" i="13"/>
  <c r="E9" i="13" s="1"/>
  <c r="E11" i="13" s="1"/>
  <c r="E13" i="13" s="1"/>
  <c r="E14" i="13" s="1"/>
  <c r="F35" i="4" s="1"/>
  <c r="F16" i="18" s="1"/>
  <c r="F18" i="7"/>
  <c r="E35" i="7"/>
  <c r="E36" i="7" s="1"/>
  <c r="E25" i="7"/>
  <c r="E28" i="18"/>
  <c r="E30" i="18"/>
  <c r="E31" i="18" s="1"/>
  <c r="E7" i="20" l="1"/>
  <c r="F36" i="4"/>
  <c r="F25" i="18"/>
  <c r="F26" i="18" s="1"/>
  <c r="F15" i="18"/>
  <c r="F17" i="18" s="1"/>
  <c r="E15" i="7"/>
  <c r="E28" i="7"/>
  <c r="E30" i="7" s="1"/>
  <c r="C28" i="14"/>
  <c r="E27" i="14"/>
  <c r="E28" i="14" l="1"/>
  <c r="G27" i="4" s="1"/>
  <c r="G29" i="4" s="1"/>
  <c r="G22" i="7"/>
  <c r="C29" i="14"/>
  <c r="F37" i="4"/>
  <c r="E8" i="20"/>
  <c r="F18" i="18" l="1"/>
  <c r="F38" i="4"/>
  <c r="F19" i="7" s="1"/>
  <c r="F21" i="7" s="1"/>
  <c r="C30" i="14"/>
  <c r="E29" i="14"/>
  <c r="G34" i="7"/>
  <c r="G41" i="7"/>
  <c r="G42" i="7" s="1"/>
  <c r="G14" i="18"/>
  <c r="G46" i="7"/>
  <c r="G48" i="7" s="1"/>
  <c r="G50" i="7" s="1"/>
  <c r="F51" i="7" s="1"/>
  <c r="G31" i="4"/>
  <c r="E30" i="14" l="1"/>
  <c r="C31" i="14"/>
  <c r="G18" i="7"/>
  <c r="F35" i="7"/>
  <c r="F36" i="7" s="1"/>
  <c r="F25" i="7"/>
  <c r="F7" i="13"/>
  <c r="F9" i="13" s="1"/>
  <c r="F11" i="13" s="1"/>
  <c r="F13" i="13" s="1"/>
  <c r="F14" i="13" s="1"/>
  <c r="G35" i="4" s="1"/>
  <c r="G16" i="18" s="1"/>
  <c r="G34" i="4"/>
  <c r="F27" i="18"/>
  <c r="F19" i="18"/>
  <c r="F21" i="18" s="1"/>
  <c r="F28" i="18" l="1"/>
  <c r="F30" i="18"/>
  <c r="F31" i="18" s="1"/>
  <c r="G36" i="4"/>
  <c r="F7" i="20"/>
  <c r="C32" i="14"/>
  <c r="E31" i="14"/>
  <c r="G4" i="18"/>
  <c r="F14" i="7"/>
  <c r="F28" i="7" l="1"/>
  <c r="F30" i="7" s="1"/>
  <c r="F15" i="7"/>
  <c r="H22" i="7"/>
  <c r="E32" i="14"/>
  <c r="H27" i="4" s="1"/>
  <c r="H29" i="4" s="1"/>
  <c r="C33" i="14"/>
  <c r="G25" i="18"/>
  <c r="G26" i="18" s="1"/>
  <c r="G15" i="18"/>
  <c r="G17" i="18" s="1"/>
  <c r="G37" i="4"/>
  <c r="G18" i="18" s="1"/>
  <c r="G27" i="18" s="1"/>
  <c r="G28" i="18" s="1"/>
  <c r="F8" i="20"/>
  <c r="G19" i="18" l="1"/>
  <c r="G21" i="18" s="1"/>
  <c r="H4" i="18" s="1"/>
  <c r="H25" i="18" s="1"/>
  <c r="C34" i="14"/>
  <c r="E33" i="14"/>
  <c r="G30" i="18"/>
  <c r="G31" i="18" s="1"/>
  <c r="H14" i="18"/>
  <c r="H46" i="7"/>
  <c r="H48" i="7" s="1"/>
  <c r="H50" i="7" s="1"/>
  <c r="H31" i="4"/>
  <c r="H34" i="7"/>
  <c r="H41" i="7"/>
  <c r="H42" i="7" s="1"/>
  <c r="F43" i="7" s="1"/>
  <c r="G38" i="4"/>
  <c r="G19" i="7" s="1"/>
  <c r="G21" i="7" s="1"/>
  <c r="H15" i="18" l="1"/>
  <c r="G14" i="7"/>
  <c r="G7" i="13"/>
  <c r="G9" i="13" s="1"/>
  <c r="G11" i="13" s="1"/>
  <c r="G13" i="13" s="1"/>
  <c r="G14" i="13" s="1"/>
  <c r="H35" i="4" s="1"/>
  <c r="H16" i="18" s="1"/>
  <c r="H34" i="4"/>
  <c r="G25" i="7"/>
  <c r="G35" i="7"/>
  <c r="G36" i="7" s="1"/>
  <c r="H18" i="7"/>
  <c r="C35" i="14"/>
  <c r="E34" i="14"/>
  <c r="H26" i="18"/>
  <c r="H17" i="18" l="1"/>
  <c r="G28" i="7"/>
  <c r="G30" i="7" s="1"/>
  <c r="G15" i="7"/>
  <c r="C36" i="14"/>
  <c r="E36" i="14" s="1"/>
  <c r="E35" i="14"/>
  <c r="G7" i="20"/>
  <c r="H36" i="4"/>
  <c r="I27" i="4" l="1"/>
  <c r="I29" i="4" s="1"/>
  <c r="H37" i="4"/>
  <c r="G8" i="20"/>
  <c r="I14" i="18" l="1"/>
  <c r="I46" i="7"/>
  <c r="I48" i="7" s="1"/>
  <c r="I50" i="7" s="1"/>
  <c r="I31" i="4"/>
  <c r="H18" i="18"/>
  <c r="H38" i="4"/>
  <c r="H19" i="7" s="1"/>
  <c r="H21" i="7" s="1"/>
  <c r="I34" i="4" l="1"/>
  <c r="H7" i="13"/>
  <c r="H9" i="13" s="1"/>
  <c r="H11" i="13" s="1"/>
  <c r="H13" i="13" s="1"/>
  <c r="H14" i="13" s="1"/>
  <c r="I35" i="4" s="1"/>
  <c r="I16" i="18" s="1"/>
  <c r="H27" i="18"/>
  <c r="H19" i="18"/>
  <c r="H21" i="18" s="1"/>
  <c r="H25" i="7"/>
  <c r="I18" i="7"/>
  <c r="H35" i="7"/>
  <c r="H36" i="7" s="1"/>
  <c r="H7" i="20" l="1"/>
  <c r="I36" i="4"/>
  <c r="I4" i="18"/>
  <c r="H14" i="7"/>
  <c r="H28" i="18"/>
  <c r="H30" i="18"/>
  <c r="H31" i="18" s="1"/>
  <c r="H8" i="20" l="1"/>
  <c r="I37" i="4"/>
  <c r="I18" i="18" s="1"/>
  <c r="I27" i="18" s="1"/>
  <c r="I28" i="18" s="1"/>
  <c r="H28" i="7"/>
  <c r="H30" i="7" s="1"/>
  <c r="H15" i="7"/>
  <c r="I15" i="18"/>
  <c r="I17" i="18" s="1"/>
  <c r="I25" i="18"/>
  <c r="I19" i="18" l="1"/>
  <c r="I21" i="18" s="1"/>
  <c r="I14" i="7" s="1"/>
  <c r="I38" i="4"/>
  <c r="I19" i="7" s="1"/>
  <c r="I21" i="7" s="1"/>
  <c r="I25" i="7" s="1"/>
  <c r="I26" i="18"/>
  <c r="I30" i="18"/>
  <c r="I31" i="18" s="1"/>
  <c r="J4" i="18" l="1"/>
  <c r="J15" i="18" s="1"/>
  <c r="J17" i="18" s="1"/>
  <c r="J19" i="18" s="1"/>
  <c r="J21" i="18" s="1"/>
  <c r="J18" i="7"/>
  <c r="J21" i="7" s="1"/>
  <c r="K18" i="7" s="1"/>
  <c r="I35" i="7"/>
  <c r="I36" i="7" s="1"/>
  <c r="I28" i="7"/>
  <c r="I30" i="7" s="1"/>
  <c r="I15" i="7"/>
  <c r="J25" i="18" l="1"/>
  <c r="J26" i="18" s="1"/>
  <c r="J25" i="7"/>
  <c r="J35" i="7"/>
  <c r="J36" i="7" s="1"/>
  <c r="K4" i="18"/>
  <c r="J14" i="7"/>
  <c r="J30" i="18" l="1"/>
  <c r="J31" i="18" s="1"/>
  <c r="J15" i="7"/>
  <c r="J28" i="7"/>
  <c r="J30" i="7" s="1"/>
  <c r="K22" i="4"/>
  <c r="J31" i="19"/>
  <c r="K14" i="4" s="1"/>
  <c r="K18" i="4" l="1"/>
  <c r="K19" i="4" s="1"/>
  <c r="K12" i="18" s="1"/>
  <c r="K12" i="7"/>
  <c r="K9" i="18" s="1"/>
  <c r="K3" i="15"/>
  <c r="J3" i="20"/>
  <c r="K13" i="7"/>
  <c r="K15" i="4"/>
  <c r="K21" i="4" l="1"/>
  <c r="K24" i="4" s="1"/>
  <c r="K25" i="18"/>
  <c r="K15" i="18"/>
  <c r="J4" i="20" l="1"/>
  <c r="J5" i="20" s="1"/>
  <c r="J6" i="20" s="1"/>
  <c r="K49" i="7"/>
  <c r="K50" i="7" s="1"/>
  <c r="K26" i="18"/>
  <c r="K31" i="4" l="1"/>
  <c r="J7" i="13" s="1"/>
  <c r="J9" i="13" s="1"/>
  <c r="J11" i="13" s="1"/>
  <c r="J13" i="13" s="1"/>
  <c r="J14" i="13" s="1"/>
  <c r="K35" i="4" s="1"/>
  <c r="K16" i="18" s="1"/>
  <c r="K34" i="4" l="1"/>
  <c r="K36" i="4" s="1"/>
  <c r="K17" i="18"/>
  <c r="J7" i="20" l="1"/>
  <c r="J8" i="20"/>
  <c r="K37" i="4"/>
  <c r="K18" i="18" s="1"/>
  <c r="K27" i="18" s="1"/>
  <c r="K28" i="18" l="1"/>
  <c r="K30" i="18"/>
  <c r="K31" i="18" s="1"/>
  <c r="L31" i="18" s="1"/>
  <c r="K38" i="4"/>
  <c r="K19" i="7" s="1"/>
  <c r="K21" i="7" s="1"/>
  <c r="K19" i="18"/>
  <c r="K21" i="18" s="1"/>
  <c r="K14" i="7" s="1"/>
  <c r="K15" i="7" l="1"/>
  <c r="K28" i="7"/>
  <c r="K30" i="7" s="1"/>
  <c r="F31" i="7" s="1"/>
  <c r="K25" i="7"/>
  <c r="K35" i="7"/>
  <c r="K36" i="7" s="1"/>
  <c r="F37" i="7" s="1"/>
</calcChain>
</file>

<file path=xl/sharedStrings.xml><?xml version="1.0" encoding="utf-8"?>
<sst xmlns="http://schemas.openxmlformats.org/spreadsheetml/2006/main" count="408" uniqueCount="291">
  <si>
    <t>Annexure 1 - Estimated cost of the project</t>
  </si>
  <si>
    <t>Estimated cost of project</t>
  </si>
  <si>
    <t xml:space="preserve">Sr. No. </t>
  </si>
  <si>
    <t>Particulars</t>
  </si>
  <si>
    <t>Grand Total (in lakhs)</t>
  </si>
  <si>
    <t>(a)</t>
  </si>
  <si>
    <t>Land and site development</t>
  </si>
  <si>
    <t>Land (Lease in name of company)</t>
  </si>
  <si>
    <t>Total</t>
  </si>
  <si>
    <t>Civil Work</t>
  </si>
  <si>
    <t>Plant and Machinery (indegenous)</t>
  </si>
  <si>
    <t>Plant and Machinery</t>
  </si>
  <si>
    <t>Miscellanoeus Fixed Assets</t>
  </si>
  <si>
    <t>Cost</t>
  </si>
  <si>
    <t>Working Capital Margin</t>
  </si>
  <si>
    <t>Preliminary Expenses</t>
  </si>
  <si>
    <t>Security Deposit</t>
  </si>
  <si>
    <t>Pre-Operative Expense</t>
  </si>
  <si>
    <t>(for 6 months upto the date od commencement of commercial production)</t>
  </si>
  <si>
    <t>Establisment and Travelling and Other Expenses</t>
  </si>
  <si>
    <t>(b)</t>
  </si>
  <si>
    <t>Legal and Misc Expense</t>
  </si>
  <si>
    <t>Total Cost of Project</t>
  </si>
  <si>
    <t>Annexure 2 - Means of Finance</t>
  </si>
  <si>
    <t>Sr. No.</t>
  </si>
  <si>
    <t>Item</t>
  </si>
  <si>
    <t>Promoter's equity</t>
  </si>
  <si>
    <t>Eligible Assistance</t>
  </si>
  <si>
    <t>Term Loan</t>
  </si>
  <si>
    <t>CC Limit</t>
  </si>
  <si>
    <t>Annexure 3 - Complete Estimate of Civil and Plant and Machinery</t>
  </si>
  <si>
    <t>Units</t>
  </si>
  <si>
    <t>Amt</t>
  </si>
  <si>
    <t>Total Plant and Machinery</t>
  </si>
  <si>
    <t>Total fixed Assets</t>
  </si>
  <si>
    <t>Annexure 4 - Estimated Cost of Production</t>
  </si>
  <si>
    <t>Sr. No</t>
  </si>
  <si>
    <t>Description</t>
  </si>
  <si>
    <t>I</t>
  </si>
  <si>
    <t>II</t>
  </si>
  <si>
    <t>III</t>
  </si>
  <si>
    <t>IV</t>
  </si>
  <si>
    <t>V</t>
  </si>
  <si>
    <t>VI</t>
  </si>
  <si>
    <t>VII</t>
  </si>
  <si>
    <t>VIII</t>
  </si>
  <si>
    <t>IX</t>
  </si>
  <si>
    <t>Year ending March 31st</t>
  </si>
  <si>
    <t>No of Working months</t>
  </si>
  <si>
    <t>Sales</t>
  </si>
  <si>
    <t>Administrative salaries and wages</t>
  </si>
  <si>
    <t>S. No.</t>
  </si>
  <si>
    <t>Designation</t>
  </si>
  <si>
    <t>In no.</t>
  </si>
  <si>
    <t>Salary per person per month</t>
  </si>
  <si>
    <t>i.</t>
  </si>
  <si>
    <t>ii.</t>
  </si>
  <si>
    <t>Total annual wages</t>
  </si>
  <si>
    <t>Annual increase in wages</t>
  </si>
  <si>
    <t>iii.</t>
  </si>
  <si>
    <t>Computation of Depreciation</t>
  </si>
  <si>
    <t>Annexure 9 - Computation of Depreciation</t>
  </si>
  <si>
    <t>Pre operatives</t>
  </si>
  <si>
    <t>Contingencies</t>
  </si>
  <si>
    <t>Misc Fixed Asset</t>
  </si>
  <si>
    <t>Amount in lakhs</t>
  </si>
  <si>
    <t>Rates of Depreciation</t>
  </si>
  <si>
    <t>Year</t>
  </si>
  <si>
    <t>Annexure 11- Break even analysis (At maximum capacity utilization)</t>
  </si>
  <si>
    <t>Variable cost</t>
  </si>
  <si>
    <t>- Running and maintenance cost</t>
  </si>
  <si>
    <t>- Interest on Working capital</t>
  </si>
  <si>
    <t>Contribution</t>
  </si>
  <si>
    <t>Wages and salaries</t>
  </si>
  <si>
    <t>Depreciation</t>
  </si>
  <si>
    <t>Fixed cost</t>
  </si>
  <si>
    <t>Sales price per kg</t>
  </si>
  <si>
    <t>Annexure 12 - Profitability statement</t>
  </si>
  <si>
    <t>Years</t>
  </si>
  <si>
    <t>Vegetable procument expense</t>
  </si>
  <si>
    <t>Fruits procurement expense</t>
  </si>
  <si>
    <t>Direct Expenses</t>
  </si>
  <si>
    <t>Cost of Sales</t>
  </si>
  <si>
    <t>Gross Profit</t>
  </si>
  <si>
    <t>Financial expense</t>
  </si>
  <si>
    <t>Interest on Term Loan</t>
  </si>
  <si>
    <t>Annexure 13 - Repayment schedule</t>
  </si>
  <si>
    <t>Repayment schedule</t>
  </si>
  <si>
    <t>Amount of Loan (in lakhs)</t>
  </si>
  <si>
    <t>Rate of interest</t>
  </si>
  <si>
    <t>Moratorium period</t>
  </si>
  <si>
    <t>Quarter</t>
  </si>
  <si>
    <t>Balance outstanding</t>
  </si>
  <si>
    <t>Interest</t>
  </si>
  <si>
    <t>Principal instalment</t>
  </si>
  <si>
    <t>Operating profits (PBT)</t>
  </si>
  <si>
    <t>depreciation</t>
  </si>
  <si>
    <t>Net Profit before Tax</t>
  </si>
  <si>
    <t>Income Tax</t>
  </si>
  <si>
    <t>Profits after Tax</t>
  </si>
  <si>
    <t>Annexure 10 - Calculation of Income tax</t>
  </si>
  <si>
    <t>Calculation of Income Tax</t>
  </si>
  <si>
    <t>Net profit before tax</t>
  </si>
  <si>
    <t>Add- dep on SLM</t>
  </si>
  <si>
    <t>Sub total</t>
  </si>
  <si>
    <t>Less- Dep on WDV</t>
  </si>
  <si>
    <t>Less - Deductions</t>
  </si>
  <si>
    <t>Taxable profits</t>
  </si>
  <si>
    <t>Income tax @30%</t>
  </si>
  <si>
    <t>Profit transfer to balance sheet</t>
  </si>
  <si>
    <t>Annexure 5- Projected balance sheet</t>
  </si>
  <si>
    <t>Asset</t>
  </si>
  <si>
    <t>Fixed Capital expenditure</t>
  </si>
  <si>
    <t>Gross Block</t>
  </si>
  <si>
    <t>Less- Depreciation</t>
  </si>
  <si>
    <t>Sundry debtors</t>
  </si>
  <si>
    <t>Cash/ bank balance</t>
  </si>
  <si>
    <t>Liabilities</t>
  </si>
  <si>
    <t>Capital</t>
  </si>
  <si>
    <t>Add- Profit</t>
  </si>
  <si>
    <t>Less- Drawings</t>
  </si>
  <si>
    <t>Closing capital</t>
  </si>
  <si>
    <t>Total liabilities</t>
  </si>
  <si>
    <t>Total assets</t>
  </si>
  <si>
    <t>Current Ratio</t>
  </si>
  <si>
    <t>Current Assets</t>
  </si>
  <si>
    <t>Current Liabilities</t>
  </si>
  <si>
    <t>Debt Equity ratio</t>
  </si>
  <si>
    <t>Debt</t>
  </si>
  <si>
    <t>Equity</t>
  </si>
  <si>
    <t>Ratio</t>
  </si>
  <si>
    <t>cash flow statement</t>
  </si>
  <si>
    <t>Sales realized</t>
  </si>
  <si>
    <t>Term loan</t>
  </si>
  <si>
    <t>assisstance</t>
  </si>
  <si>
    <t>less- Purchase of assets</t>
  </si>
  <si>
    <t>Debt service coverage ratio</t>
  </si>
  <si>
    <t>Interest on loan (TL + WC)</t>
  </si>
  <si>
    <t>Net operating income</t>
  </si>
  <si>
    <t>ratio</t>
  </si>
  <si>
    <t>Instalment of loan</t>
  </si>
  <si>
    <t>A</t>
  </si>
  <si>
    <t>B</t>
  </si>
  <si>
    <t>Average</t>
  </si>
  <si>
    <t>Fixed asset coverage ratio</t>
  </si>
  <si>
    <t>Fixed assets</t>
  </si>
  <si>
    <t>6 months</t>
  </si>
  <si>
    <t>Details of Manpower</t>
  </si>
  <si>
    <t>Creditors</t>
  </si>
  <si>
    <t>Total manpower</t>
  </si>
  <si>
    <t>opening balance</t>
  </si>
  <si>
    <t>Add: Sales realizations</t>
  </si>
  <si>
    <t>Less: Interest payments</t>
  </si>
  <si>
    <t>Working capital</t>
  </si>
  <si>
    <t>Interest on WC Loan</t>
  </si>
  <si>
    <t>Site Development</t>
  </si>
  <si>
    <t>Sales Budget</t>
  </si>
  <si>
    <t>Products</t>
  </si>
  <si>
    <t>Production at 100% capacity</t>
  </si>
  <si>
    <t>Output</t>
  </si>
  <si>
    <t>Cost of Production</t>
  </si>
  <si>
    <t>Sub Total</t>
  </si>
  <si>
    <t>Total depreciation for the year</t>
  </si>
  <si>
    <t>Preliminary Expense</t>
  </si>
  <si>
    <t>Less: Payment made to creditors of previos year</t>
  </si>
  <si>
    <t>Add: Receipts from debtors of previos year</t>
  </si>
  <si>
    <t>Less: Payments made for current year purchase</t>
  </si>
  <si>
    <t>Less: Distrubutions made from profits</t>
  </si>
  <si>
    <t>Less: Income tax</t>
  </si>
  <si>
    <t>Less: Principal repayment of loan</t>
  </si>
  <si>
    <t>Closing cash balance</t>
  </si>
  <si>
    <t>PV dicounting rate</t>
  </si>
  <si>
    <t>PVF</t>
  </si>
  <si>
    <t>Inflows</t>
  </si>
  <si>
    <t>PV of Inflows</t>
  </si>
  <si>
    <t>Outflows</t>
  </si>
  <si>
    <t>PV of Outflows</t>
  </si>
  <si>
    <t>Net cash inflow</t>
  </si>
  <si>
    <t>Net Present value</t>
  </si>
  <si>
    <t>Turnover</t>
  </si>
  <si>
    <t>Cost Of operations</t>
  </si>
  <si>
    <t>Gross profit</t>
  </si>
  <si>
    <t>EBITDA</t>
  </si>
  <si>
    <t>Profit before tax</t>
  </si>
  <si>
    <t>Profit after tax</t>
  </si>
  <si>
    <t>Total BEP %</t>
  </si>
  <si>
    <t>Interest on TL</t>
  </si>
  <si>
    <t>Add: Capital</t>
  </si>
  <si>
    <t>Add: Loan disbursement</t>
  </si>
  <si>
    <t>Less: Purchase of asset</t>
  </si>
  <si>
    <t>Contents Table</t>
  </si>
  <si>
    <t>Contents</t>
  </si>
  <si>
    <t>Link</t>
  </si>
  <si>
    <t>Ann 1'!A1</t>
  </si>
  <si>
    <t>Ann 2'!A1</t>
  </si>
  <si>
    <t>Ann 4'!A1</t>
  </si>
  <si>
    <t>Ann 5'!A1</t>
  </si>
  <si>
    <t>Ann 8'!A1</t>
  </si>
  <si>
    <t>Ann 9'!A1</t>
  </si>
  <si>
    <t>Ann 10'!A1</t>
  </si>
  <si>
    <t>Ann 11'!A1</t>
  </si>
  <si>
    <t>Ann 13'!A1</t>
  </si>
  <si>
    <t>Assumptions!A1</t>
  </si>
  <si>
    <t>Budgets!A1</t>
  </si>
  <si>
    <t>S. no.</t>
  </si>
  <si>
    <t>Assumptions</t>
  </si>
  <si>
    <t>DPR without subsidy</t>
  </si>
  <si>
    <t>Annual cost</t>
  </si>
  <si>
    <t>Ann 3'!A1</t>
  </si>
  <si>
    <t>Break-even point is the condition when an entity generate sufficient revenue that it can meet its fixed expense after deducting any variable expense, i.e., the point where contribution is equal to the fixed expense.</t>
  </si>
  <si>
    <t>Fuel</t>
  </si>
  <si>
    <t>Per annum capacity in kgs</t>
  </si>
  <si>
    <t>Estimated ocupational capacity</t>
  </si>
  <si>
    <t>Less: Pre incorporation expense</t>
  </si>
  <si>
    <t>Electricity fixed charge</t>
  </si>
  <si>
    <t>BEP in kgs</t>
  </si>
  <si>
    <t>Less: Fixed costs</t>
  </si>
  <si>
    <t>Rs. per kg</t>
  </si>
  <si>
    <t>Insurance cost @ 2% of purchase cost</t>
  </si>
  <si>
    <t>Add: Opening Stock</t>
  </si>
  <si>
    <t>Less: Closing Stock</t>
  </si>
  <si>
    <t>Operational days</t>
  </si>
  <si>
    <t>Production Budget</t>
  </si>
  <si>
    <t>Estimation of Production capacity</t>
  </si>
  <si>
    <t>Opening Stock</t>
  </si>
  <si>
    <t>Production</t>
  </si>
  <si>
    <t>Closing Stock</t>
  </si>
  <si>
    <t>Distribution of profits (80%)</t>
  </si>
  <si>
    <t>Less: Land purchase</t>
  </si>
  <si>
    <t>Closing stock</t>
  </si>
  <si>
    <t>1. asssumed that 90 days of purchases are average creditors maintained</t>
  </si>
  <si>
    <t>Production capacity (kgs)</t>
  </si>
  <si>
    <t>Total Financial expense</t>
  </si>
  <si>
    <t>Variable costs</t>
  </si>
  <si>
    <t>Running and maintenance</t>
  </si>
  <si>
    <t>Interest on working capital</t>
  </si>
  <si>
    <t>Contribution per unit</t>
  </si>
  <si>
    <t>Fixed charges for office</t>
  </si>
  <si>
    <t>2. assumed that 60 days of sales are average debtors maintained by the business</t>
  </si>
  <si>
    <t>Sales (kgs)</t>
  </si>
  <si>
    <t>Revenue in Rs.</t>
  </si>
  <si>
    <t>Sales prices per kg</t>
  </si>
  <si>
    <t>Purchase price per kg</t>
  </si>
  <si>
    <t>Insurance cost</t>
  </si>
  <si>
    <t>Add: benefits @ 30%</t>
  </si>
  <si>
    <t>Projected Balance sheet</t>
  </si>
  <si>
    <t>Annexure 8 - Details of Manpower</t>
  </si>
  <si>
    <t>Annexure 14 - Cash flow statement</t>
  </si>
  <si>
    <t>Net Block</t>
  </si>
  <si>
    <t>Total Interest</t>
  </si>
  <si>
    <t>Break even capacity at maximum capacity utilization</t>
  </si>
  <si>
    <t>Ann 14'!A1</t>
  </si>
  <si>
    <t>Civil work</t>
  </si>
  <si>
    <t xml:space="preserve">** The Plant and Machinery cost estimate is as per the available technology </t>
  </si>
  <si>
    <t>Capacity</t>
  </si>
  <si>
    <t>Running and Manintenance expense @1% of raw material</t>
  </si>
  <si>
    <t>Mini Refrigerated Van- capacity 15 tonnes per day</t>
  </si>
  <si>
    <t>Miscellaneous - Crates, forklift</t>
  </si>
  <si>
    <t>1. Plant and machinery**</t>
  </si>
  <si>
    <t>Requirement of Fuel</t>
  </si>
  <si>
    <t>Input Kiwi</t>
  </si>
  <si>
    <t>Reefer van size is 15 MT per day</t>
  </si>
  <si>
    <t>Round trip (days)</t>
  </si>
  <si>
    <t>Number of round trips</t>
  </si>
  <si>
    <t>Number of vehicles</t>
  </si>
  <si>
    <t>Round trips in a season</t>
  </si>
  <si>
    <t>Rental per day per van</t>
  </si>
  <si>
    <t>Diesel cost per litre</t>
  </si>
  <si>
    <t>Distance between Bomdila to Itanagar to Delhi (kms)</t>
  </si>
  <si>
    <t>No. of round trips per year per van</t>
  </si>
  <si>
    <t>Mileage (kms/ liter)</t>
  </si>
  <si>
    <t>Litres of diesel required for one round trip</t>
  </si>
  <si>
    <t>Diesel cost for round trip</t>
  </si>
  <si>
    <t>Diesel cost per day</t>
  </si>
  <si>
    <t>Annexure 6 - Requirement of Fuel</t>
  </si>
  <si>
    <t>Driver</t>
  </si>
  <si>
    <t>Diesel Cost</t>
  </si>
  <si>
    <t>Rental operation no of days</t>
  </si>
  <si>
    <t>Expected sales revenue - From transportation of Kiwis</t>
  </si>
  <si>
    <t>Expected sales revenue - From rent of van</t>
  </si>
  <si>
    <t>1. The diesel cost is expected to incraese 1% every</t>
  </si>
  <si>
    <t>2. the rental for van is expected to increase 2% annually</t>
  </si>
  <si>
    <t>Ann 6'!A1</t>
  </si>
  <si>
    <t>Marketing expense</t>
  </si>
  <si>
    <t>Mechanic/ Helper</t>
  </si>
  <si>
    <t>Food and accomodation expenses</t>
  </si>
  <si>
    <t>3. The food and accomodation expenses are assumed at Rs. 20,000 per day per head for 3 months</t>
  </si>
  <si>
    <t>The reefer vans provided on rent are exclusive of the diesel cost. The diesel cost is to be borne by hirer.</t>
  </si>
  <si>
    <t>Please note that it is assumed while returning from Delhi to Arunachal Pradesh, the van has equivalent occupational capacity to transport items.</t>
  </si>
  <si>
    <t>It is assumed that the Reefer vans are used for transporation of Kiwis for 3 months in peak season from Arunachal Pradesh to Delhi. For rest of 7 months the reefer vans are provided on rent.</t>
  </si>
  <si>
    <t>For the first year of operation the break-even capacity comes at 39.62% capacity, it is because of the fact that in the Initial year the fixed expense of consultancy for project is taken in to consideration for calculation of BEP. considering our operational capacity in year 1 to be 60% which is more than the BEP, hence we can conclude that the project is sound enough to cover its fixed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</si>
</sst>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_);_(* \(#,##0.0\);_(* &quot;-&quot;?_);_(@_)"/>
    <numFmt numFmtId="166" formatCode="_(* #,##0.000000000_);_(* \(#,##0.000000000\);_(* &quot;-&quot;??_);_(@_)"/>
    <numFmt numFmtId="167" formatCode="0.000"/>
    <numFmt numFmtId="168" formatCode="0.0000"/>
    <numFmt numFmtId="169" formatCode="_(* #,##0.000_);_(* \(#,##0.000\);_(* &quot;-&quot;??_);_(@_)"/>
    <numFmt numFmtId="170" formatCode="0.0%"/>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dobe Devanagari"/>
      <family val="1"/>
    </font>
    <font>
      <sz val="11"/>
      <color theme="1"/>
      <name val="Adobe Devanagari"/>
      <family val="1"/>
    </font>
    <font>
      <u/>
      <sz val="11"/>
      <color theme="1"/>
      <name val="Adobe Devanagari"/>
      <family val="1"/>
    </font>
    <font>
      <u/>
      <sz val="11"/>
      <color theme="10"/>
      <name val="Adobe Devanagari"/>
      <family val="1"/>
    </font>
    <font>
      <sz val="11"/>
      <color theme="0"/>
      <name val="Adobe Devanagari"/>
      <family val="1"/>
    </font>
    <font>
      <sz val="11"/>
      <name val="Adobe Devanagari"/>
      <family val="1"/>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40">
    <xf numFmtId="0" fontId="0" fillId="0" borderId="0" xfId="0"/>
    <xf numFmtId="0" fontId="3" fillId="0" borderId="0" xfId="0" applyFont="1"/>
    <xf numFmtId="0" fontId="4" fillId="0" borderId="0" xfId="0" applyFont="1"/>
    <xf numFmtId="0" fontId="5" fillId="3" borderId="2" xfId="0" applyFont="1" applyFill="1" applyBorder="1"/>
    <xf numFmtId="0" fontId="4" fillId="3" borderId="3" xfId="0" applyFont="1" applyFill="1" applyBorder="1"/>
    <xf numFmtId="0" fontId="4" fillId="3" borderId="4" xfId="0" applyFont="1" applyFill="1" applyBorder="1"/>
    <xf numFmtId="0" fontId="4" fillId="3" borderId="1" xfId="0" applyFont="1" applyFill="1" applyBorder="1"/>
    <xf numFmtId="0" fontId="4" fillId="3" borderId="1" xfId="0" applyFont="1" applyFill="1" applyBorder="1" applyAlignment="1">
      <alignment wrapText="1"/>
    </xf>
    <xf numFmtId="0" fontId="4" fillId="0" borderId="11" xfId="0" applyFont="1" applyBorder="1" applyAlignment="1">
      <alignment horizontal="left"/>
    </xf>
    <xf numFmtId="0" fontId="4" fillId="0" borderId="11" xfId="0" applyFont="1" applyBorder="1"/>
    <xf numFmtId="0" fontId="4" fillId="0" borderId="9" xfId="0" applyFont="1" applyBorder="1"/>
    <xf numFmtId="43" fontId="4" fillId="0" borderId="9" xfId="1" applyFont="1" applyBorder="1"/>
    <xf numFmtId="0" fontId="3" fillId="0" borderId="11" xfId="0" applyFont="1" applyBorder="1"/>
    <xf numFmtId="43" fontId="3" fillId="0" borderId="9" xfId="1" applyFont="1" applyBorder="1"/>
    <xf numFmtId="43" fontId="3" fillId="0" borderId="9" xfId="1" applyNumberFormat="1" applyFont="1" applyBorder="1"/>
    <xf numFmtId="43" fontId="4" fillId="0" borderId="9" xfId="1" applyNumberFormat="1" applyFont="1" applyBorder="1"/>
    <xf numFmtId="43" fontId="3" fillId="0" borderId="9" xfId="0" applyNumberFormat="1" applyFont="1" applyBorder="1"/>
    <xf numFmtId="0" fontId="4" fillId="0" borderId="11" xfId="0" applyFont="1" applyBorder="1" applyAlignment="1">
      <alignment wrapText="1"/>
    </xf>
    <xf numFmtId="0" fontId="3" fillId="0" borderId="12" xfId="0" applyFont="1" applyBorder="1" applyAlignment="1">
      <alignment horizontal="left"/>
    </xf>
    <xf numFmtId="0" fontId="3" fillId="0" borderId="12" xfId="0" applyFont="1" applyBorder="1"/>
    <xf numFmtId="43" fontId="3" fillId="0" borderId="10" xfId="0" applyNumberFormat="1" applyFont="1" applyBorder="1"/>
    <xf numFmtId="0" fontId="4" fillId="0" borderId="0" xfId="0" applyFont="1" applyAlignment="1">
      <alignment horizontal="left"/>
    </xf>
    <xf numFmtId="0" fontId="4" fillId="0" borderId="8" xfId="0" applyFont="1" applyBorder="1"/>
    <xf numFmtId="0" fontId="4" fillId="0" borderId="0" xfId="0" applyFont="1" applyBorder="1"/>
    <xf numFmtId="43" fontId="4" fillId="0" borderId="9" xfId="0" applyNumberFormat="1" applyFont="1" applyBorder="1"/>
    <xf numFmtId="10" fontId="4" fillId="0" borderId="0" xfId="2" applyNumberFormat="1" applyFont="1"/>
    <xf numFmtId="2" fontId="4" fillId="0" borderId="0" xfId="0" applyNumberFormat="1" applyFont="1"/>
    <xf numFmtId="0" fontId="4" fillId="0" borderId="2" xfId="0" applyFont="1" applyBorder="1"/>
    <xf numFmtId="0" fontId="4" fillId="0" borderId="3" xfId="0" applyFont="1" applyBorder="1"/>
    <xf numFmtId="0" fontId="4" fillId="3" borderId="2" xfId="0" applyFont="1" applyFill="1" applyBorder="1"/>
    <xf numFmtId="0" fontId="4" fillId="0" borderId="1" xfId="0" applyFont="1" applyBorder="1"/>
    <xf numFmtId="0" fontId="6" fillId="0" borderId="1" xfId="3" quotePrefix="1" applyFont="1" applyBorder="1"/>
    <xf numFmtId="0" fontId="6" fillId="0" borderId="1" xfId="3" applyFont="1" applyBorder="1"/>
    <xf numFmtId="0" fontId="4" fillId="0" borderId="5" xfId="0" applyFont="1" applyBorder="1"/>
    <xf numFmtId="0" fontId="4" fillId="0" borderId="4" xfId="0" applyFont="1" applyBorder="1"/>
    <xf numFmtId="164" fontId="4" fillId="0" borderId="0" xfId="1" applyNumberFormat="1" applyFont="1" applyBorder="1"/>
    <xf numFmtId="0" fontId="3" fillId="0" borderId="2" xfId="0" applyFont="1" applyBorder="1"/>
    <xf numFmtId="0" fontId="3" fillId="0" borderId="3" xfId="0" applyFont="1" applyBorder="1"/>
    <xf numFmtId="164" fontId="3" fillId="0" borderId="4" xfId="0" applyNumberFormat="1" applyFont="1" applyBorder="1"/>
    <xf numFmtId="0" fontId="3" fillId="0" borderId="0" xfId="0" applyFont="1" applyFill="1"/>
    <xf numFmtId="43" fontId="4" fillId="0" borderId="0" xfId="0" applyNumberFormat="1" applyFont="1"/>
    <xf numFmtId="164" fontId="4" fillId="0" borderId="0" xfId="0" applyNumberFormat="1" applyFont="1"/>
    <xf numFmtId="164" fontId="4" fillId="0" borderId="1" xfId="1" applyNumberFormat="1" applyFont="1" applyBorder="1"/>
    <xf numFmtId="0" fontId="4" fillId="0" borderId="1" xfId="0" applyFont="1" applyFill="1" applyBorder="1"/>
    <xf numFmtId="0" fontId="4" fillId="3" borderId="1" xfId="0" applyFont="1" applyFill="1" applyBorder="1" applyAlignment="1">
      <alignment horizontal="center"/>
    </xf>
    <xf numFmtId="0" fontId="4" fillId="3" borderId="1" xfId="0" applyFont="1" applyFill="1" applyBorder="1" applyAlignment="1">
      <alignment horizontal="center"/>
    </xf>
    <xf numFmtId="0" fontId="3" fillId="0" borderId="6" xfId="0" applyFont="1" applyBorder="1"/>
    <xf numFmtId="0" fontId="4" fillId="0" borderId="15" xfId="0" applyFont="1" applyBorder="1"/>
    <xf numFmtId="0" fontId="4" fillId="0" borderId="7" xfId="0" applyFont="1" applyBorder="1"/>
    <xf numFmtId="164" fontId="4" fillId="0" borderId="11" xfId="0" applyNumberFormat="1" applyFont="1" applyBorder="1"/>
    <xf numFmtId="43" fontId="4" fillId="0" borderId="11" xfId="0" applyNumberFormat="1" applyFont="1" applyBorder="1"/>
    <xf numFmtId="0" fontId="4" fillId="0" borderId="0" xfId="0" applyFont="1" applyFill="1" applyBorder="1"/>
    <xf numFmtId="164" fontId="4" fillId="0" borderId="11" xfId="1" applyNumberFormat="1" applyFont="1" applyBorder="1"/>
    <xf numFmtId="164" fontId="4" fillId="0" borderId="9" xfId="0" applyNumberFormat="1" applyFont="1" applyBorder="1"/>
    <xf numFmtId="0" fontId="3" fillId="0" borderId="0" xfId="0" applyFont="1" applyBorder="1"/>
    <xf numFmtId="164" fontId="4" fillId="0" borderId="9" xfId="1" applyNumberFormat="1" applyFont="1" applyBorder="1"/>
    <xf numFmtId="164" fontId="4" fillId="0" borderId="8" xfId="0" applyNumberFormat="1" applyFont="1" applyFill="1" applyBorder="1"/>
    <xf numFmtId="0" fontId="4" fillId="0" borderId="13" xfId="0" applyFont="1" applyBorder="1"/>
    <xf numFmtId="0" fontId="4" fillId="0" borderId="14" xfId="0" applyFont="1" applyBorder="1"/>
    <xf numFmtId="0" fontId="4" fillId="0" borderId="12" xfId="0" applyFont="1" applyBorder="1"/>
    <xf numFmtId="0" fontId="4" fillId="0" borderId="10" xfId="0" applyFont="1" applyBorder="1"/>
    <xf numFmtId="0" fontId="4" fillId="3" borderId="1" xfId="0" applyFont="1" applyFill="1" applyBorder="1" applyAlignment="1">
      <alignment horizontal="center" vertical="center"/>
    </xf>
    <xf numFmtId="0" fontId="4" fillId="3" borderId="8" xfId="0" applyFont="1" applyFill="1" applyBorder="1"/>
    <xf numFmtId="0" fontId="4" fillId="3" borderId="0" xfId="0" applyFont="1" applyFill="1" applyBorder="1"/>
    <xf numFmtId="0" fontId="4" fillId="3" borderId="11" xfId="0" applyFont="1" applyFill="1" applyBorder="1"/>
    <xf numFmtId="0" fontId="4" fillId="3" borderId="9" xfId="0" applyFont="1" applyFill="1" applyBorder="1"/>
    <xf numFmtId="164" fontId="4" fillId="3" borderId="9" xfId="0" applyNumberFormat="1" applyFont="1" applyFill="1" applyBorder="1"/>
    <xf numFmtId="0" fontId="5" fillId="0" borderId="0" xfId="0" applyFont="1"/>
    <xf numFmtId="164" fontId="4" fillId="0" borderId="1" xfId="0" applyNumberFormat="1" applyFont="1" applyBorder="1"/>
    <xf numFmtId="0" fontId="4" fillId="0" borderId="6" xfId="0" applyFont="1" applyBorder="1"/>
    <xf numFmtId="164" fontId="4" fillId="0" borderId="10" xfId="0" applyNumberFormat="1" applyFont="1" applyBorder="1"/>
    <xf numFmtId="164" fontId="4" fillId="0" borderId="4" xfId="0" applyNumberFormat="1" applyFont="1" applyBorder="1"/>
    <xf numFmtId="9" fontId="4" fillId="0" borderId="0" xfId="0" applyNumberFormat="1" applyFont="1"/>
    <xf numFmtId="2" fontId="4" fillId="0" borderId="1" xfId="0" applyNumberFormat="1" applyFont="1" applyBorder="1"/>
    <xf numFmtId="2" fontId="4" fillId="0" borderId="1" xfId="1" applyNumberFormat="1" applyFont="1" applyBorder="1"/>
    <xf numFmtId="0" fontId="4" fillId="0" borderId="1" xfId="0" applyFont="1" applyBorder="1" applyAlignment="1">
      <alignment horizontal="right"/>
    </xf>
    <xf numFmtId="0" fontId="4" fillId="0" borderId="1" xfId="0" applyFont="1" applyBorder="1" applyAlignment="1">
      <alignment horizontal="left"/>
    </xf>
    <xf numFmtId="43" fontId="4" fillId="0" borderId="1" xfId="0" applyNumberFormat="1" applyFont="1" applyBorder="1"/>
    <xf numFmtId="0" fontId="4" fillId="0" borderId="0" xfId="0" applyFont="1" applyAlignment="1">
      <alignment horizontal="right"/>
    </xf>
    <xf numFmtId="43" fontId="4" fillId="0" borderId="1" xfId="1" applyFont="1" applyBorder="1"/>
    <xf numFmtId="0" fontId="4" fillId="3" borderId="0" xfId="0" applyFont="1" applyFill="1"/>
    <xf numFmtId="0" fontId="5" fillId="3" borderId="0" xfId="0" applyFont="1" applyFill="1"/>
    <xf numFmtId="164" fontId="4" fillId="0" borderId="0" xfId="1" applyNumberFormat="1" applyFont="1"/>
    <xf numFmtId="0" fontId="4" fillId="0" borderId="0" xfId="0" quotePrefix="1" applyFont="1"/>
    <xf numFmtId="10" fontId="4" fillId="0" borderId="1" xfId="2" applyNumberFormat="1" applyFont="1" applyBorder="1"/>
    <xf numFmtId="9" fontId="4" fillId="0" borderId="1" xfId="0" applyNumberFormat="1" applyFont="1" applyBorder="1" applyAlignment="1">
      <alignment horizontal="center"/>
    </xf>
    <xf numFmtId="164" fontId="4" fillId="0" borderId="1" xfId="1" applyNumberFormat="1" applyFont="1" applyBorder="1" applyAlignment="1">
      <alignment horizontal="right"/>
    </xf>
    <xf numFmtId="164" fontId="4" fillId="0" borderId="0" xfId="1" applyNumberFormat="1" applyFont="1" applyFill="1"/>
    <xf numFmtId="16" fontId="4" fillId="0" borderId="0" xfId="0" applyNumberFormat="1" applyFont="1"/>
    <xf numFmtId="164" fontId="4" fillId="0" borderId="0" xfId="1" applyNumberFormat="1" applyFont="1" applyAlignment="1">
      <alignment horizontal="right"/>
    </xf>
    <xf numFmtId="0" fontId="4" fillId="0" borderId="1" xfId="0" applyFont="1" applyBorder="1" applyAlignment="1">
      <alignment vertical="top"/>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0" xfId="0" applyFont="1" applyAlignment="1">
      <alignment vertical="top"/>
    </xf>
    <xf numFmtId="164" fontId="4" fillId="0" borderId="1" xfId="0" applyNumberFormat="1" applyFont="1" applyBorder="1" applyAlignment="1">
      <alignment vertical="top"/>
    </xf>
    <xf numFmtId="165" fontId="4" fillId="0" borderId="2" xfId="0" applyNumberFormat="1" applyFont="1" applyBorder="1" applyAlignment="1">
      <alignment vertical="top" wrapText="1"/>
    </xf>
    <xf numFmtId="165" fontId="4" fillId="0" borderId="1" xfId="0" applyNumberFormat="1" applyFont="1" applyBorder="1" applyAlignment="1">
      <alignment vertical="top" wrapText="1"/>
    </xf>
    <xf numFmtId="0" fontId="4" fillId="0" borderId="0" xfId="0" applyFont="1" applyBorder="1" applyAlignment="1">
      <alignment vertical="top"/>
    </xf>
    <xf numFmtId="164" fontId="4" fillId="0" borderId="0" xfId="0" applyNumberFormat="1" applyFont="1" applyBorder="1" applyAlignment="1">
      <alignment vertical="top"/>
    </xf>
    <xf numFmtId="165" fontId="4" fillId="0" borderId="0" xfId="0" applyNumberFormat="1" applyFont="1" applyBorder="1" applyAlignment="1">
      <alignment vertical="top" wrapText="1"/>
    </xf>
    <xf numFmtId="164" fontId="7" fillId="0" borderId="0" xfId="1" applyNumberFormat="1" applyFont="1"/>
    <xf numFmtId="10" fontId="7" fillId="0" borderId="0" xfId="1" applyNumberFormat="1" applyFont="1"/>
    <xf numFmtId="0" fontId="7" fillId="0" borderId="0" xfId="0" applyFont="1"/>
    <xf numFmtId="166" fontId="7" fillId="0" borderId="0" xfId="1" applyNumberFormat="1" applyFont="1"/>
    <xf numFmtId="167" fontId="4" fillId="0" borderId="0" xfId="0" applyNumberFormat="1" applyFont="1"/>
    <xf numFmtId="10" fontId="4" fillId="2" borderId="0" xfId="0" applyNumberFormat="1" applyFont="1" applyFill="1"/>
    <xf numFmtId="0" fontId="4" fillId="2" borderId="0" xfId="0" applyFont="1" applyFill="1" applyAlignment="1">
      <alignment horizontal="right"/>
    </xf>
    <xf numFmtId="0" fontId="8" fillId="0" borderId="0" xfId="0" applyFont="1"/>
    <xf numFmtId="167" fontId="4" fillId="0" borderId="1" xfId="0" applyNumberFormat="1" applyFont="1" applyBorder="1"/>
    <xf numFmtId="43" fontId="4" fillId="0" borderId="11" xfId="1" applyNumberFormat="1" applyFont="1" applyBorder="1"/>
    <xf numFmtId="0" fontId="3" fillId="3" borderId="1" xfId="0" applyFont="1" applyFill="1" applyBorder="1"/>
    <xf numFmtId="0" fontId="3" fillId="0" borderId="1" xfId="0" applyFont="1" applyBorder="1"/>
    <xf numFmtId="9" fontId="3" fillId="0" borderId="1" xfId="0" applyNumberFormat="1" applyFont="1" applyBorder="1"/>
    <xf numFmtId="43" fontId="3" fillId="0" borderId="4" xfId="0" applyNumberFormat="1" applyFont="1" applyBorder="1"/>
    <xf numFmtId="0" fontId="3" fillId="3" borderId="2" xfId="0" applyFont="1" applyFill="1" applyBorder="1"/>
    <xf numFmtId="0" fontId="3" fillId="3" borderId="3" xfId="0" applyFont="1" applyFill="1" applyBorder="1"/>
    <xf numFmtId="0" fontId="3" fillId="3" borderId="4" xfId="0" applyFont="1" applyFill="1" applyBorder="1"/>
    <xf numFmtId="168" fontId="4" fillId="0" borderId="0" xfId="0" applyNumberFormat="1" applyFont="1"/>
    <xf numFmtId="169" fontId="4" fillId="0" borderId="9" xfId="0" applyNumberFormat="1" applyFont="1" applyBorder="1"/>
    <xf numFmtId="0" fontId="4" fillId="0" borderId="0" xfId="0" applyNumberFormat="1" applyFont="1"/>
    <xf numFmtId="164" fontId="4" fillId="0" borderId="0" xfId="0" applyNumberFormat="1" applyFont="1" applyFill="1"/>
    <xf numFmtId="0" fontId="3" fillId="3" borderId="1" xfId="0" applyFont="1" applyFill="1" applyBorder="1" applyAlignment="1">
      <alignment horizontal="center" vertical="center"/>
    </xf>
    <xf numFmtId="164" fontId="4" fillId="0" borderId="6" xfId="1" applyNumberFormat="1" applyFont="1" applyFill="1" applyBorder="1" applyAlignment="1"/>
    <xf numFmtId="164" fontId="4" fillId="0" borderId="0" xfId="1" applyNumberFormat="1" applyFont="1" applyFill="1" applyBorder="1" applyAlignment="1"/>
    <xf numFmtId="164" fontId="4" fillId="0" borderId="7" xfId="1" applyNumberFormat="1" applyFont="1" applyBorder="1" applyAlignment="1"/>
    <xf numFmtId="164" fontId="4" fillId="0" borderId="9" xfId="1" applyNumberFormat="1" applyFont="1" applyBorder="1" applyAlignment="1"/>
    <xf numFmtId="170" fontId="4" fillId="0" borderId="0" xfId="2" applyNumberFormat="1" applyFont="1"/>
    <xf numFmtId="0" fontId="4" fillId="0" borderId="0" xfId="0" applyFont="1" applyAlignment="1">
      <alignment wrapText="1"/>
    </xf>
    <xf numFmtId="0" fontId="3" fillId="3" borderId="3" xfId="0" applyFont="1" applyFill="1" applyBorder="1" applyAlignment="1">
      <alignment horizontal="center"/>
    </xf>
    <xf numFmtId="0" fontId="3" fillId="3" borderId="1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xf>
    <xf numFmtId="0" fontId="5" fillId="3" borderId="0" xfId="0" applyFont="1" applyFill="1" applyAlignment="1">
      <alignment horizontal="left"/>
    </xf>
    <xf numFmtId="0" fontId="4" fillId="0" borderId="1" xfId="0" applyFont="1" applyBorder="1" applyAlignment="1">
      <alignment horizontal="left"/>
    </xf>
    <xf numFmtId="0" fontId="4" fillId="0" borderId="0" xfId="0" applyFont="1" applyAlignment="1">
      <alignment horizontal="left" wrapText="1"/>
    </xf>
    <xf numFmtId="0" fontId="0" fillId="0" borderId="0" xfId="0" applyAlignment="1">
      <alignment horizontal="center"/>
    </xf>
    <xf numFmtId="0" fontId="4" fillId="0" borderId="1" xfId="0" applyFont="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C8BE-60EA-43EA-96F6-72E97A57CA2D}">
  <dimension ref="A1:B17"/>
  <sheetViews>
    <sheetView workbookViewId="0">
      <selection activeCell="B15" sqref="B15"/>
    </sheetView>
  </sheetViews>
  <sheetFormatPr defaultRowHeight="17" x14ac:dyDescent="0.6"/>
  <cols>
    <col min="1" max="1" width="57.90625" style="2" bestFit="1" customWidth="1"/>
    <col min="2" max="2" width="14.453125" style="2" bestFit="1" customWidth="1"/>
    <col min="3" max="16384" width="8.7265625" style="2"/>
  </cols>
  <sheetData>
    <row r="1" spans="1:2" x14ac:dyDescent="0.6">
      <c r="A1" s="1" t="s">
        <v>190</v>
      </c>
    </row>
    <row r="3" spans="1:2" x14ac:dyDescent="0.6">
      <c r="A3" s="110" t="s">
        <v>191</v>
      </c>
      <c r="B3" s="110" t="s">
        <v>192</v>
      </c>
    </row>
    <row r="4" spans="1:2" x14ac:dyDescent="0.6">
      <c r="A4" s="30" t="str">
        <f>'Ann 1'!A3</f>
        <v>Annexure 1 - Estimated cost of the project</v>
      </c>
      <c r="B4" s="31" t="s">
        <v>193</v>
      </c>
    </row>
    <row r="5" spans="1:2" x14ac:dyDescent="0.6">
      <c r="A5" s="30" t="str">
        <f>'Ann 2'!A1</f>
        <v>Annexure 2 - Means of Finance</v>
      </c>
      <c r="B5" s="31" t="s">
        <v>194</v>
      </c>
    </row>
    <row r="6" spans="1:2" x14ac:dyDescent="0.6">
      <c r="A6" s="30" t="str">
        <f>'Ann 3'!A1</f>
        <v>Annexure 3 - Complete Estimate of Civil and Plant and Machinery</v>
      </c>
      <c r="B6" s="31" t="s">
        <v>208</v>
      </c>
    </row>
    <row r="7" spans="1:2" x14ac:dyDescent="0.6">
      <c r="A7" s="30" t="str">
        <f>'Ann 4'!A1</f>
        <v>Annexure 4 - Estimated Cost of Production</v>
      </c>
      <c r="B7" s="31" t="s">
        <v>195</v>
      </c>
    </row>
    <row r="8" spans="1:2" x14ac:dyDescent="0.6">
      <c r="A8" s="30" t="str">
        <f>'Ann 5'!A1</f>
        <v>Annexure 5- Projected balance sheet</v>
      </c>
      <c r="B8" s="31" t="s">
        <v>196</v>
      </c>
    </row>
    <row r="9" spans="1:2" x14ac:dyDescent="0.6">
      <c r="A9" s="30" t="str">
        <f>'Ann 6'!A1</f>
        <v>Annexure 6 - Requirement of Fuel</v>
      </c>
      <c r="B9" s="31" t="s">
        <v>282</v>
      </c>
    </row>
    <row r="10" spans="1:2" x14ac:dyDescent="0.6">
      <c r="A10" s="30" t="str">
        <f>'Ann 8'!A1</f>
        <v>Annexure 8 - Details of Manpower</v>
      </c>
      <c r="B10" s="31" t="s">
        <v>197</v>
      </c>
    </row>
    <row r="11" spans="1:2" x14ac:dyDescent="0.6">
      <c r="A11" s="30" t="str">
        <f>'Ann 9'!A1</f>
        <v>Annexure 9 - Computation of Depreciation</v>
      </c>
      <c r="B11" s="31" t="s">
        <v>198</v>
      </c>
    </row>
    <row r="12" spans="1:2" x14ac:dyDescent="0.6">
      <c r="A12" s="30" t="str">
        <f>'Ann 10'!A1</f>
        <v>Annexure 10 - Calculation of Income tax</v>
      </c>
      <c r="B12" s="31" t="s">
        <v>199</v>
      </c>
    </row>
    <row r="13" spans="1:2" x14ac:dyDescent="0.6">
      <c r="A13" s="30" t="str">
        <f>'Ann 11'!A1</f>
        <v>Annexure 11- Break even analysis (At maximum capacity utilization)</v>
      </c>
      <c r="B13" s="31" t="s">
        <v>200</v>
      </c>
    </row>
    <row r="14" spans="1:2" x14ac:dyDescent="0.6">
      <c r="A14" s="30" t="str">
        <f>'Ann 13'!A1</f>
        <v>Annexure 13 - Repayment schedule</v>
      </c>
      <c r="B14" s="31" t="s">
        <v>201</v>
      </c>
    </row>
    <row r="15" spans="1:2" x14ac:dyDescent="0.6">
      <c r="A15" s="30" t="str">
        <f>'Ann 14'!A1</f>
        <v>Annexure 14 - Cash flow statement</v>
      </c>
      <c r="B15" s="31" t="s">
        <v>251</v>
      </c>
    </row>
    <row r="16" spans="1:2" x14ac:dyDescent="0.6">
      <c r="A16" s="30" t="str">
        <f>Budgets!A1</f>
        <v>Sales Budget</v>
      </c>
      <c r="B16" s="32" t="s">
        <v>203</v>
      </c>
    </row>
    <row r="17" spans="1:2" x14ac:dyDescent="0.6">
      <c r="A17" s="30" t="str">
        <f>Assumptions!B1</f>
        <v>Assumptions</v>
      </c>
      <c r="B17" s="32" t="s">
        <v>202</v>
      </c>
    </row>
  </sheetData>
  <hyperlinks>
    <hyperlink ref="B4" location="'Ann 1'!A1" display="Ann 1'!A1" xr:uid="{129A53AE-42B4-406F-AE43-98A73E9596B6}"/>
    <hyperlink ref="B5" location="'Ann 2'!A1" display="Ann 2'!A1" xr:uid="{D366D2B7-8C33-4BB9-8360-E73E9FF6CF6A}"/>
    <hyperlink ref="B6" location="'Ann 3'!A1" display="Ann 3'!A1" xr:uid="{1B8772B9-E43D-4AB5-8F5A-638223AF500E}"/>
    <hyperlink ref="B7" location="'Ann 4'!A1" display="Ann 4'!A1" xr:uid="{FAAB8839-5519-4D9B-A59A-73365143B4B9}"/>
    <hyperlink ref="B8" location="'Ann 5'!A1" display="Ann 5'!A1" xr:uid="{345DF3FB-1320-4EE4-BE1D-865969EAB7BC}"/>
    <hyperlink ref="B10" location="'Ann 8'!A1" display="Ann 8'!A1" xr:uid="{42615D31-7A7C-4734-A1CE-F2C2E3B3162A}"/>
    <hyperlink ref="B11" location="'Ann 9'!A1" display="Ann 9'!A1" xr:uid="{B7119FF1-2125-4BB1-8092-9AB11A831D0F}"/>
    <hyperlink ref="B12" location="'Ann 10'!A1" display="Ann 10'!A1" xr:uid="{DFB51339-4F19-4C93-8A40-F6B91391A5EC}"/>
    <hyperlink ref="B13" location="'Ann 11'!A1" display="Ann 11'!A1" xr:uid="{45AE67DC-B5E2-4285-BEE7-A02BF94C1CBE}"/>
    <hyperlink ref="B14" location="'Ann 13'!A1" display="Ann 13'!A1" xr:uid="{C975FC4B-1ADE-4A0F-BED9-979C1D3964AD}"/>
    <hyperlink ref="B15" location="'Ann 14'!A1" display="Ann 14'!A1" xr:uid="{1EB42EDC-9E72-40D8-932F-98050E53BF90}"/>
    <hyperlink ref="B16" location="Budgets!A1" display="Budgets!A1" xr:uid="{93337CD4-EB49-450F-A248-E7178008DA35}"/>
    <hyperlink ref="B17" location="Assumptions!A1" display="Assumptions!A1" xr:uid="{AED17B9E-3962-416C-9671-559494842589}"/>
    <hyperlink ref="B9" location="'Ann 6'!A1" display="'Ann 6'!A1" xr:uid="{0ED75685-52F3-42C7-93A6-853BAE6C70B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521A-756D-4D90-8C99-73BDFD6A7811}">
  <sheetPr>
    <pageSetUpPr fitToPage="1"/>
  </sheetPr>
  <dimension ref="A1:J14"/>
  <sheetViews>
    <sheetView workbookViewId="0">
      <selection activeCell="A3" sqref="A3"/>
    </sheetView>
  </sheetViews>
  <sheetFormatPr defaultRowHeight="17" x14ac:dyDescent="0.6"/>
  <cols>
    <col min="1" max="1" width="20.90625" style="2" customWidth="1"/>
    <col min="2" max="10" width="13.6328125" style="2" bestFit="1" customWidth="1"/>
    <col min="11" max="16384" width="8.7265625" style="2"/>
  </cols>
  <sheetData>
    <row r="1" spans="1:10" x14ac:dyDescent="0.6">
      <c r="A1" s="1" t="s">
        <v>100</v>
      </c>
    </row>
    <row r="3" spans="1:10" x14ac:dyDescent="0.6">
      <c r="A3" s="67" t="s">
        <v>101</v>
      </c>
    </row>
    <row r="5" spans="1:10" x14ac:dyDescent="0.6">
      <c r="A5" s="133" t="s">
        <v>3</v>
      </c>
      <c r="B5" s="133" t="s">
        <v>47</v>
      </c>
      <c r="C5" s="133"/>
      <c r="D5" s="133"/>
      <c r="E5" s="133"/>
      <c r="F5" s="133"/>
      <c r="G5" s="133"/>
      <c r="H5" s="133"/>
      <c r="I5" s="133"/>
      <c r="J5" s="133"/>
    </row>
    <row r="6" spans="1:10" x14ac:dyDescent="0.6">
      <c r="A6" s="133"/>
      <c r="B6" s="61" t="s">
        <v>38</v>
      </c>
      <c r="C6" s="61" t="s">
        <v>39</v>
      </c>
      <c r="D6" s="61" t="s">
        <v>40</v>
      </c>
      <c r="E6" s="61" t="s">
        <v>41</v>
      </c>
      <c r="F6" s="61" t="s">
        <v>42</v>
      </c>
      <c r="G6" s="61" t="s">
        <v>43</v>
      </c>
      <c r="H6" s="61" t="s">
        <v>44</v>
      </c>
      <c r="I6" s="61" t="s">
        <v>45</v>
      </c>
      <c r="J6" s="61" t="s">
        <v>46</v>
      </c>
    </row>
    <row r="7" spans="1:10" x14ac:dyDescent="0.6">
      <c r="A7" s="30" t="s">
        <v>102</v>
      </c>
      <c r="B7" s="42">
        <f>'Ann 4'!C31</f>
        <v>1800153.653846154</v>
      </c>
      <c r="C7" s="42">
        <f>'Ann 4'!D31</f>
        <v>2222340.341346154</v>
      </c>
      <c r="D7" s="42">
        <f>'Ann 4'!E31</f>
        <v>2512149.9153846162</v>
      </c>
      <c r="E7" s="42">
        <f>'Ann 4'!F31</f>
        <v>2799429.7101730756</v>
      </c>
      <c r="F7" s="42">
        <f>'Ann 4'!G31</f>
        <v>3084007.7382990387</v>
      </c>
      <c r="G7" s="42">
        <f>'Ann 4'!H31</f>
        <v>3348659.8453424722</v>
      </c>
      <c r="H7" s="42">
        <f>'Ann 4'!I31</f>
        <v>3626268.023641225</v>
      </c>
      <c r="I7" s="42">
        <f>'Ann 4'!J31</f>
        <v>3881272.4969603764</v>
      </c>
      <c r="J7" s="42">
        <f>'Ann 4'!K31</f>
        <v>4102579.1491071456</v>
      </c>
    </row>
    <row r="8" spans="1:10" x14ac:dyDescent="0.6">
      <c r="A8" s="30" t="s">
        <v>103</v>
      </c>
      <c r="B8" s="42">
        <v>0</v>
      </c>
      <c r="C8" s="42">
        <v>0</v>
      </c>
      <c r="D8" s="42">
        <v>0</v>
      </c>
      <c r="E8" s="42">
        <v>0</v>
      </c>
      <c r="F8" s="42">
        <v>0</v>
      </c>
      <c r="G8" s="42">
        <v>0</v>
      </c>
      <c r="H8" s="42">
        <v>0</v>
      </c>
      <c r="I8" s="42">
        <v>0</v>
      </c>
      <c r="J8" s="42">
        <v>0</v>
      </c>
    </row>
    <row r="9" spans="1:10" x14ac:dyDescent="0.6">
      <c r="A9" s="30" t="s">
        <v>104</v>
      </c>
      <c r="B9" s="42">
        <f>B7+B8</f>
        <v>1800153.653846154</v>
      </c>
      <c r="C9" s="42">
        <f t="shared" ref="C9:J9" si="0">C7+C8</f>
        <v>2222340.341346154</v>
      </c>
      <c r="D9" s="42">
        <f t="shared" si="0"/>
        <v>2512149.9153846162</v>
      </c>
      <c r="E9" s="42">
        <f t="shared" si="0"/>
        <v>2799429.7101730756</v>
      </c>
      <c r="F9" s="42">
        <f t="shared" si="0"/>
        <v>3084007.7382990387</v>
      </c>
      <c r="G9" s="42">
        <f t="shared" si="0"/>
        <v>3348659.8453424722</v>
      </c>
      <c r="H9" s="42">
        <f t="shared" si="0"/>
        <v>3626268.023641225</v>
      </c>
      <c r="I9" s="42">
        <f t="shared" si="0"/>
        <v>3881272.4969603764</v>
      </c>
      <c r="J9" s="42">
        <f t="shared" si="0"/>
        <v>4102579.1491071456</v>
      </c>
    </row>
    <row r="10" spans="1:10" x14ac:dyDescent="0.6">
      <c r="A10" s="30" t="s">
        <v>105</v>
      </c>
      <c r="B10" s="42">
        <f>SUM('Ann 9'!C12:E12)</f>
        <v>930000</v>
      </c>
      <c r="C10" s="42">
        <f>SUM('Ann 9'!C13:E13)</f>
        <v>790500</v>
      </c>
      <c r="D10" s="42">
        <f>SUM('Ann 9'!C14:E14)</f>
        <v>671925</v>
      </c>
      <c r="E10" s="42">
        <f>SUM('Ann 9'!C15:E15)</f>
        <v>571136.25</v>
      </c>
      <c r="F10" s="42">
        <f>SUM('Ann 9'!C16:E16)</f>
        <v>485465.8125</v>
      </c>
      <c r="G10" s="42">
        <f>SUM('Ann 9'!C17:E17)</f>
        <v>412645.94062499999</v>
      </c>
      <c r="H10" s="42">
        <f>SUM('Ann 9'!C18:E18)</f>
        <v>350749.04953125003</v>
      </c>
      <c r="I10" s="42">
        <f>SUM('Ann 9'!C19:E19)</f>
        <v>298136.69210156251</v>
      </c>
      <c r="J10" s="42">
        <f>SUM('Ann 9'!C20:E20)</f>
        <v>253416.18828632811</v>
      </c>
    </row>
    <row r="11" spans="1:10" x14ac:dyDescent="0.6">
      <c r="A11" s="30" t="s">
        <v>104</v>
      </c>
      <c r="B11" s="42">
        <f>B9-B10</f>
        <v>870153.65384615399</v>
      </c>
      <c r="C11" s="42">
        <f t="shared" ref="C11:J11" si="1">C9-C10</f>
        <v>1431840.341346154</v>
      </c>
      <c r="D11" s="42">
        <f t="shared" si="1"/>
        <v>1840224.9153846162</v>
      </c>
      <c r="E11" s="42">
        <f t="shared" si="1"/>
        <v>2228293.4601730756</v>
      </c>
      <c r="F11" s="42">
        <f t="shared" si="1"/>
        <v>2598541.9257990387</v>
      </c>
      <c r="G11" s="42">
        <f t="shared" si="1"/>
        <v>2936013.9047174724</v>
      </c>
      <c r="H11" s="42">
        <f t="shared" si="1"/>
        <v>3275518.9741099747</v>
      </c>
      <c r="I11" s="42">
        <f t="shared" si="1"/>
        <v>3583135.804858814</v>
      </c>
      <c r="J11" s="42">
        <f t="shared" si="1"/>
        <v>3849162.9608208174</v>
      </c>
    </row>
    <row r="12" spans="1:10" x14ac:dyDescent="0.6">
      <c r="A12" s="30" t="s">
        <v>106</v>
      </c>
      <c r="B12" s="79">
        <v>0</v>
      </c>
      <c r="C12" s="79">
        <v>0</v>
      </c>
      <c r="D12" s="79">
        <v>0</v>
      </c>
      <c r="E12" s="79">
        <v>0</v>
      </c>
      <c r="F12" s="79">
        <v>0</v>
      </c>
      <c r="G12" s="79">
        <v>0</v>
      </c>
      <c r="H12" s="79">
        <v>0</v>
      </c>
      <c r="I12" s="79">
        <v>0</v>
      </c>
      <c r="J12" s="79">
        <v>0</v>
      </c>
    </row>
    <row r="13" spans="1:10" x14ac:dyDescent="0.6">
      <c r="A13" s="30" t="s">
        <v>107</v>
      </c>
      <c r="B13" s="68">
        <f>B11</f>
        <v>870153.65384615399</v>
      </c>
      <c r="C13" s="68">
        <f t="shared" ref="C13:J13" si="2">C11</f>
        <v>1431840.341346154</v>
      </c>
      <c r="D13" s="68">
        <f t="shared" si="2"/>
        <v>1840224.9153846162</v>
      </c>
      <c r="E13" s="68">
        <f t="shared" si="2"/>
        <v>2228293.4601730756</v>
      </c>
      <c r="F13" s="68">
        <f t="shared" si="2"/>
        <v>2598541.9257990387</v>
      </c>
      <c r="G13" s="68">
        <f t="shared" si="2"/>
        <v>2936013.9047174724</v>
      </c>
      <c r="H13" s="68">
        <f t="shared" si="2"/>
        <v>3275518.9741099747</v>
      </c>
      <c r="I13" s="68">
        <f t="shared" si="2"/>
        <v>3583135.804858814</v>
      </c>
      <c r="J13" s="68">
        <f t="shared" si="2"/>
        <v>3849162.9608208174</v>
      </c>
    </row>
    <row r="14" spans="1:10" x14ac:dyDescent="0.6">
      <c r="A14" s="30" t="s">
        <v>108</v>
      </c>
      <c r="B14" s="68">
        <f>B13*30%</f>
        <v>261046.09615384619</v>
      </c>
      <c r="C14" s="68">
        <f t="shared" ref="C14:J14" si="3">C13*30%</f>
        <v>429552.10240384616</v>
      </c>
      <c r="D14" s="68">
        <f t="shared" si="3"/>
        <v>552067.47461538482</v>
      </c>
      <c r="E14" s="68">
        <f t="shared" si="3"/>
        <v>668488.03805192269</v>
      </c>
      <c r="F14" s="68">
        <f t="shared" si="3"/>
        <v>779562.57773971162</v>
      </c>
      <c r="G14" s="68">
        <f t="shared" si="3"/>
        <v>880804.17141524167</v>
      </c>
      <c r="H14" s="68">
        <f t="shared" si="3"/>
        <v>982655.69223299238</v>
      </c>
      <c r="I14" s="68">
        <f t="shared" si="3"/>
        <v>1074940.7414576442</v>
      </c>
      <c r="J14" s="68">
        <f t="shared" si="3"/>
        <v>1154748.8882462452</v>
      </c>
    </row>
  </sheetData>
  <mergeCells count="2">
    <mergeCell ref="B5:J5"/>
    <mergeCell ref="A5:A6"/>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239D-A793-4055-957C-367EF6B7112E}">
  <sheetPr>
    <pageSetUpPr fitToPage="1"/>
  </sheetPr>
  <dimension ref="A1:E31"/>
  <sheetViews>
    <sheetView topLeftCell="A28" workbookViewId="0">
      <selection activeCell="A31" sqref="A31:E31"/>
    </sheetView>
  </sheetViews>
  <sheetFormatPr defaultRowHeight="17" x14ac:dyDescent="0.6"/>
  <cols>
    <col min="1" max="1" width="8.7265625" style="2"/>
    <col min="2" max="2" width="26.7265625" style="2" bestFit="1" customWidth="1"/>
    <col min="3" max="3" width="14.6328125" style="2" bestFit="1" customWidth="1"/>
    <col min="4" max="4" width="13.54296875" style="2" bestFit="1" customWidth="1"/>
    <col min="5" max="5" width="13.6328125" style="2" bestFit="1" customWidth="1"/>
    <col min="6" max="14" width="8.7265625" style="2"/>
    <col min="15" max="15" width="13.6328125" style="2" bestFit="1" customWidth="1"/>
    <col min="16" max="16" width="12.54296875" style="2" bestFit="1" customWidth="1"/>
    <col min="17" max="16384" width="8.7265625" style="2"/>
  </cols>
  <sheetData>
    <row r="1" spans="1:5" x14ac:dyDescent="0.6">
      <c r="A1" s="1" t="s">
        <v>68</v>
      </c>
    </row>
    <row r="3" spans="1:5" x14ac:dyDescent="0.6">
      <c r="A3" s="81" t="s">
        <v>250</v>
      </c>
      <c r="B3" s="80"/>
      <c r="C3" s="80"/>
      <c r="D3" s="80"/>
      <c r="E3" s="80"/>
    </row>
    <row r="5" spans="1:5" x14ac:dyDescent="0.6">
      <c r="B5" s="2" t="s">
        <v>49</v>
      </c>
      <c r="E5" s="82">
        <f>'Ann 4'!C22/70%</f>
        <v>21002142.857142858</v>
      </c>
    </row>
    <row r="6" spans="1:5" x14ac:dyDescent="0.6">
      <c r="B6" s="2" t="s">
        <v>69</v>
      </c>
    </row>
    <row r="7" spans="1:5" x14ac:dyDescent="0.6">
      <c r="B7" s="83" t="s">
        <v>70</v>
      </c>
      <c r="D7" s="41">
        <f>E5*15%</f>
        <v>3150321.4285714286</v>
      </c>
    </row>
    <row r="8" spans="1:5" x14ac:dyDescent="0.6">
      <c r="B8" s="83" t="s">
        <v>71</v>
      </c>
      <c r="D8" s="41">
        <f>'Ann 2'!C7*100000*10%</f>
        <v>10000</v>
      </c>
      <c r="E8" s="41"/>
    </row>
    <row r="9" spans="1:5" x14ac:dyDescent="0.6">
      <c r="B9" s="2" t="s">
        <v>72</v>
      </c>
      <c r="E9" s="41">
        <f>E5-D7-D8</f>
        <v>17841821.428571429</v>
      </c>
    </row>
    <row r="10" spans="1:5" x14ac:dyDescent="0.6">
      <c r="B10" s="2" t="s">
        <v>216</v>
      </c>
    </row>
    <row r="11" spans="1:5" x14ac:dyDescent="0.6">
      <c r="B11" s="2" t="s">
        <v>73</v>
      </c>
      <c r="E11" s="41">
        <f>'Ann 8'!E11</f>
        <v>429000</v>
      </c>
    </row>
    <row r="12" spans="1:5" x14ac:dyDescent="0.6">
      <c r="B12" s="2" t="s">
        <v>74</v>
      </c>
      <c r="E12" s="41">
        <f>'Ann 9'!F12</f>
        <v>930000</v>
      </c>
    </row>
    <row r="13" spans="1:5" x14ac:dyDescent="0.6">
      <c r="B13" s="2" t="s">
        <v>237</v>
      </c>
      <c r="E13" s="41">
        <v>144000</v>
      </c>
    </row>
    <row r="14" spans="1:5" x14ac:dyDescent="0.6">
      <c r="B14" s="2" t="s">
        <v>214</v>
      </c>
      <c r="E14" s="41">
        <v>150000</v>
      </c>
    </row>
    <row r="15" spans="1:5" x14ac:dyDescent="0.6">
      <c r="B15" s="2" t="s">
        <v>243</v>
      </c>
      <c r="E15" s="41">
        <f>'Ann 4'!C8</f>
        <v>124000</v>
      </c>
    </row>
    <row r="16" spans="1:5" x14ac:dyDescent="0.6">
      <c r="B16" s="2" t="s">
        <v>186</v>
      </c>
      <c r="E16" s="41">
        <f>SUM('Ann 13'!E9:E12)*100000</f>
        <v>331521.34615384613</v>
      </c>
    </row>
    <row r="17" spans="1:5" x14ac:dyDescent="0.6">
      <c r="B17" s="2" t="s">
        <v>75</v>
      </c>
      <c r="E17" s="41">
        <f>SUM(E11:E16)</f>
        <v>2108521.346153846</v>
      </c>
    </row>
    <row r="19" spans="1:5" x14ac:dyDescent="0.6">
      <c r="B19" s="6" t="s">
        <v>3</v>
      </c>
      <c r="C19" s="6" t="s">
        <v>217</v>
      </c>
    </row>
    <row r="20" spans="1:5" x14ac:dyDescent="0.6">
      <c r="B20" s="30" t="s">
        <v>76</v>
      </c>
      <c r="C20" s="30">
        <f>Budgets!C23</f>
        <v>110</v>
      </c>
    </row>
    <row r="21" spans="1:5" x14ac:dyDescent="0.6">
      <c r="B21" s="30" t="s">
        <v>233</v>
      </c>
      <c r="C21" s="30"/>
    </row>
    <row r="22" spans="1:5" x14ac:dyDescent="0.6">
      <c r="B22" s="30" t="s">
        <v>260</v>
      </c>
      <c r="C22" s="30">
        <f>Budgets!D23</f>
        <v>80</v>
      </c>
    </row>
    <row r="23" spans="1:5" x14ac:dyDescent="0.6">
      <c r="B23" s="30" t="s">
        <v>234</v>
      </c>
      <c r="C23" s="30">
        <f>C22*1%</f>
        <v>0.8</v>
      </c>
    </row>
    <row r="24" spans="1:5" x14ac:dyDescent="0.6">
      <c r="B24" s="30" t="s">
        <v>283</v>
      </c>
      <c r="C24" s="30">
        <f>5%*C20</f>
        <v>5.5</v>
      </c>
    </row>
    <row r="25" spans="1:5" x14ac:dyDescent="0.6">
      <c r="B25" s="30" t="s">
        <v>235</v>
      </c>
      <c r="C25" s="77">
        <f>D8/Budgets!B11</f>
        <v>4.4444444444444446E-2</v>
      </c>
    </row>
    <row r="26" spans="1:5" x14ac:dyDescent="0.6">
      <c r="B26" s="30" t="s">
        <v>236</v>
      </c>
      <c r="C26" s="30">
        <f>C20-SUM(C22:C25)</f>
        <v>23.655555555555551</v>
      </c>
    </row>
    <row r="27" spans="1:5" x14ac:dyDescent="0.6">
      <c r="B27" s="30" t="s">
        <v>215</v>
      </c>
      <c r="C27" s="79">
        <f>E17/C26</f>
        <v>89134.298334357052</v>
      </c>
    </row>
    <row r="28" spans="1:5" x14ac:dyDescent="0.6">
      <c r="B28" s="30" t="s">
        <v>185</v>
      </c>
      <c r="C28" s="84">
        <f>C27/Budgets!B23</f>
        <v>0.39615243704158692</v>
      </c>
    </row>
    <row r="29" spans="1:5" x14ac:dyDescent="0.6">
      <c r="C29" s="25"/>
    </row>
    <row r="30" spans="1:5" ht="49" customHeight="1" x14ac:dyDescent="0.6">
      <c r="A30" s="137" t="s">
        <v>209</v>
      </c>
      <c r="B30" s="137"/>
      <c r="C30" s="137"/>
      <c r="D30" s="137"/>
      <c r="E30" s="137"/>
    </row>
    <row r="31" spans="1:5" ht="71" customHeight="1" x14ac:dyDescent="0.6">
      <c r="A31" s="137" t="s">
        <v>290</v>
      </c>
      <c r="B31" s="137"/>
      <c r="C31" s="137"/>
      <c r="D31" s="137"/>
      <c r="E31" s="137"/>
    </row>
  </sheetData>
  <mergeCells count="2">
    <mergeCell ref="A30:E30"/>
    <mergeCell ref="A31:E3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098D-FBA0-4F7E-BF3C-624224F47C27}">
  <dimension ref="A1:K7"/>
  <sheetViews>
    <sheetView workbookViewId="0">
      <selection activeCell="A8" sqref="A8"/>
    </sheetView>
  </sheetViews>
  <sheetFormatPr defaultRowHeight="14.5" x14ac:dyDescent="0.35"/>
  <sheetData>
    <row r="1" spans="1:11" x14ac:dyDescent="0.35">
      <c r="A1" t="s">
        <v>77</v>
      </c>
    </row>
    <row r="3" spans="1:11" x14ac:dyDescent="0.35">
      <c r="C3" s="138" t="s">
        <v>78</v>
      </c>
      <c r="D3" s="138"/>
      <c r="E3" s="138"/>
      <c r="F3" s="138"/>
      <c r="G3" s="138"/>
      <c r="H3" s="138"/>
      <c r="I3" s="138"/>
      <c r="J3" s="138"/>
      <c r="K3" s="138"/>
    </row>
    <row r="4" spans="1:11" x14ac:dyDescent="0.35">
      <c r="C4">
        <v>1</v>
      </c>
      <c r="D4">
        <v>2</v>
      </c>
      <c r="E4">
        <v>3</v>
      </c>
      <c r="F4">
        <v>4</v>
      </c>
      <c r="G4">
        <v>5</v>
      </c>
      <c r="H4">
        <v>6</v>
      </c>
      <c r="I4">
        <v>7</v>
      </c>
      <c r="J4">
        <v>8</v>
      </c>
      <c r="K4">
        <v>9</v>
      </c>
    </row>
    <row r="5" spans="1:11" x14ac:dyDescent="0.35">
      <c r="A5" t="s">
        <v>79</v>
      </c>
      <c r="C5" t="e">
        <f>'Ann 4'!#REF!</f>
        <v>#REF!</v>
      </c>
      <c r="D5" t="e">
        <f>'Ann 4'!#REF!</f>
        <v>#REF!</v>
      </c>
      <c r="E5" t="e">
        <f>'Ann 4'!#REF!</f>
        <v>#REF!</v>
      </c>
      <c r="F5" t="e">
        <f>'Ann 4'!#REF!</f>
        <v>#REF!</v>
      </c>
      <c r="G5" t="e">
        <f>'Ann 4'!#REF!</f>
        <v>#REF!</v>
      </c>
      <c r="H5" t="e">
        <f>'Ann 4'!#REF!</f>
        <v>#REF!</v>
      </c>
      <c r="I5" t="e">
        <f>'Ann 4'!#REF!</f>
        <v>#REF!</v>
      </c>
      <c r="J5" t="e">
        <f>'Ann 4'!#REF!</f>
        <v>#REF!</v>
      </c>
      <c r="K5" t="e">
        <f>'Ann 4'!#REF!</f>
        <v>#REF!</v>
      </c>
    </row>
    <row r="6" spans="1:11" x14ac:dyDescent="0.35">
      <c r="A6" t="s">
        <v>80</v>
      </c>
      <c r="C6" t="e">
        <f>'Ann 4'!#REF!</f>
        <v>#REF!</v>
      </c>
      <c r="D6" t="e">
        <f>'Ann 4'!#REF!</f>
        <v>#REF!</v>
      </c>
      <c r="E6" t="e">
        <f>'Ann 4'!#REF!</f>
        <v>#REF!</v>
      </c>
      <c r="F6" t="e">
        <f>'Ann 4'!#REF!</f>
        <v>#REF!</v>
      </c>
      <c r="G6" t="e">
        <f>'Ann 4'!#REF!</f>
        <v>#REF!</v>
      </c>
      <c r="H6" t="e">
        <f>'Ann 4'!#REF!</f>
        <v>#REF!</v>
      </c>
      <c r="I6" t="e">
        <f>'Ann 4'!#REF!</f>
        <v>#REF!</v>
      </c>
      <c r="J6" t="e">
        <f>'Ann 4'!#REF!</f>
        <v>#REF!</v>
      </c>
      <c r="K6" t="e">
        <f>'Ann 4'!#REF!</f>
        <v>#REF!</v>
      </c>
    </row>
    <row r="7" spans="1:11" x14ac:dyDescent="0.35">
      <c r="A7" t="s">
        <v>81</v>
      </c>
    </row>
  </sheetData>
  <mergeCells count="1">
    <mergeCell ref="C3: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F0C2-594D-4936-9810-7D289B91BEE1}">
  <dimension ref="A1:G36"/>
  <sheetViews>
    <sheetView workbookViewId="0"/>
  </sheetViews>
  <sheetFormatPr defaultRowHeight="17" x14ac:dyDescent="0.6"/>
  <cols>
    <col min="1" max="1" width="4.54296875" style="2" bestFit="1" customWidth="1"/>
    <col min="2" max="2" width="7.36328125" style="2" bestFit="1" customWidth="1"/>
    <col min="3" max="3" width="17.81640625" style="2" bestFit="1" customWidth="1"/>
    <col min="4" max="4" width="17.36328125" style="2" bestFit="1" customWidth="1"/>
    <col min="5" max="5" width="7.26953125" style="2" bestFit="1" customWidth="1"/>
    <col min="6" max="16384" width="8.7265625" style="2"/>
  </cols>
  <sheetData>
    <row r="1" spans="1:7" x14ac:dyDescent="0.6">
      <c r="A1" s="1" t="s">
        <v>86</v>
      </c>
    </row>
    <row r="3" spans="1:7" x14ac:dyDescent="0.6">
      <c r="A3" s="67" t="s">
        <v>87</v>
      </c>
    </row>
    <row r="4" spans="1:7" x14ac:dyDescent="0.6">
      <c r="A4" s="2" t="s">
        <v>88</v>
      </c>
      <c r="D4" s="117">
        <f>'Ann 2'!C6</f>
        <v>55.79</v>
      </c>
    </row>
    <row r="5" spans="1:7" x14ac:dyDescent="0.6">
      <c r="A5" s="2" t="s">
        <v>89</v>
      </c>
      <c r="D5" s="105">
        <v>0.06</v>
      </c>
    </row>
    <row r="6" spans="1:7" x14ac:dyDescent="0.6">
      <c r="A6" s="2" t="s">
        <v>90</v>
      </c>
      <c r="D6" s="106" t="s">
        <v>146</v>
      </c>
    </row>
    <row r="8" spans="1:7" x14ac:dyDescent="0.6">
      <c r="A8" s="6" t="s">
        <v>67</v>
      </c>
      <c r="B8" s="6" t="s">
        <v>91</v>
      </c>
      <c r="C8" s="6" t="s">
        <v>92</v>
      </c>
      <c r="D8" s="6" t="s">
        <v>94</v>
      </c>
      <c r="E8" s="6" t="s">
        <v>93</v>
      </c>
    </row>
    <row r="9" spans="1:7" x14ac:dyDescent="0.6">
      <c r="A9" s="139">
        <v>1</v>
      </c>
      <c r="B9" s="30">
        <v>1</v>
      </c>
      <c r="C9" s="73">
        <f>$D$4</f>
        <v>55.79</v>
      </c>
      <c r="D9" s="30">
        <v>0</v>
      </c>
      <c r="E9" s="30">
        <f>C9*$D$5/4</f>
        <v>0.83684999999999998</v>
      </c>
    </row>
    <row r="10" spans="1:7" x14ac:dyDescent="0.6">
      <c r="A10" s="139"/>
      <c r="B10" s="30">
        <v>2</v>
      </c>
      <c r="C10" s="73">
        <f>$D$4</f>
        <v>55.79</v>
      </c>
      <c r="D10" s="30">
        <v>0</v>
      </c>
      <c r="E10" s="30">
        <f t="shared" ref="E10:E36" si="0">C10*$D$5/4</f>
        <v>0.83684999999999998</v>
      </c>
      <c r="G10" s="107"/>
    </row>
    <row r="11" spans="1:7" x14ac:dyDescent="0.6">
      <c r="A11" s="139"/>
      <c r="B11" s="30">
        <v>3</v>
      </c>
      <c r="C11" s="73">
        <f>$D$4</f>
        <v>55.79</v>
      </c>
      <c r="D11" s="30">
        <f>D4/26</f>
        <v>2.1457692307692309</v>
      </c>
      <c r="E11" s="30">
        <f t="shared" si="0"/>
        <v>0.83684999999999998</v>
      </c>
    </row>
    <row r="12" spans="1:7" x14ac:dyDescent="0.6">
      <c r="A12" s="139"/>
      <c r="B12" s="30">
        <v>4</v>
      </c>
      <c r="C12" s="30">
        <f t="shared" ref="C12:C17" si="1">C11-D11</f>
        <v>53.644230769230766</v>
      </c>
      <c r="D12" s="30">
        <f>D11</f>
        <v>2.1457692307692309</v>
      </c>
      <c r="E12" s="30">
        <f t="shared" si="0"/>
        <v>0.80466346153846147</v>
      </c>
    </row>
    <row r="13" spans="1:7" x14ac:dyDescent="0.6">
      <c r="A13" s="139">
        <v>2</v>
      </c>
      <c r="B13" s="30">
        <v>1</v>
      </c>
      <c r="C13" s="30">
        <f t="shared" si="1"/>
        <v>51.498461538461534</v>
      </c>
      <c r="D13" s="30">
        <f t="shared" ref="D13:D35" si="2">D12</f>
        <v>2.1457692307692309</v>
      </c>
      <c r="E13" s="30">
        <f t="shared" si="0"/>
        <v>0.77247692307692295</v>
      </c>
    </row>
    <row r="14" spans="1:7" x14ac:dyDescent="0.6">
      <c r="A14" s="139"/>
      <c r="B14" s="30">
        <v>2</v>
      </c>
      <c r="C14" s="30">
        <f t="shared" si="1"/>
        <v>49.352692307692301</v>
      </c>
      <c r="D14" s="30">
        <f t="shared" si="2"/>
        <v>2.1457692307692309</v>
      </c>
      <c r="E14" s="30">
        <f t="shared" si="0"/>
        <v>0.74029038461538454</v>
      </c>
    </row>
    <row r="15" spans="1:7" x14ac:dyDescent="0.6">
      <c r="A15" s="139"/>
      <c r="B15" s="30">
        <v>3</v>
      </c>
      <c r="C15" s="30">
        <f t="shared" si="1"/>
        <v>47.206923076923069</v>
      </c>
      <c r="D15" s="30">
        <f t="shared" si="2"/>
        <v>2.1457692307692309</v>
      </c>
      <c r="E15" s="30">
        <f t="shared" si="0"/>
        <v>0.70810384615384603</v>
      </c>
    </row>
    <row r="16" spans="1:7" x14ac:dyDescent="0.6">
      <c r="A16" s="139"/>
      <c r="B16" s="30">
        <v>4</v>
      </c>
      <c r="C16" s="30">
        <f t="shared" si="1"/>
        <v>45.061153846153836</v>
      </c>
      <c r="D16" s="30">
        <f t="shared" si="2"/>
        <v>2.1457692307692309</v>
      </c>
      <c r="E16" s="30">
        <f t="shared" si="0"/>
        <v>0.67591730769230751</v>
      </c>
    </row>
    <row r="17" spans="1:5" x14ac:dyDescent="0.6">
      <c r="A17" s="139">
        <v>3</v>
      </c>
      <c r="B17" s="30">
        <v>1</v>
      </c>
      <c r="C17" s="30">
        <f t="shared" si="1"/>
        <v>42.915384615384603</v>
      </c>
      <c r="D17" s="30">
        <f t="shared" si="2"/>
        <v>2.1457692307692309</v>
      </c>
      <c r="E17" s="30">
        <f t="shared" si="0"/>
        <v>0.643730769230769</v>
      </c>
    </row>
    <row r="18" spans="1:5" x14ac:dyDescent="0.6">
      <c r="A18" s="139"/>
      <c r="B18" s="30">
        <v>2</v>
      </c>
      <c r="C18" s="30">
        <f t="shared" ref="C18:C36" si="3">C17-D17</f>
        <v>40.769615384615371</v>
      </c>
      <c r="D18" s="30">
        <f t="shared" si="2"/>
        <v>2.1457692307692309</v>
      </c>
      <c r="E18" s="30">
        <f t="shared" si="0"/>
        <v>0.61154423076923059</v>
      </c>
    </row>
    <row r="19" spans="1:5" x14ac:dyDescent="0.6">
      <c r="A19" s="139"/>
      <c r="B19" s="30">
        <v>3</v>
      </c>
      <c r="C19" s="30">
        <f t="shared" si="3"/>
        <v>38.623846153846138</v>
      </c>
      <c r="D19" s="30">
        <f t="shared" si="2"/>
        <v>2.1457692307692309</v>
      </c>
      <c r="E19" s="30">
        <f t="shared" si="0"/>
        <v>0.57935769230769207</v>
      </c>
    </row>
    <row r="20" spans="1:5" x14ac:dyDescent="0.6">
      <c r="A20" s="139"/>
      <c r="B20" s="30">
        <v>4</v>
      </c>
      <c r="C20" s="30">
        <f t="shared" si="3"/>
        <v>36.478076923076905</v>
      </c>
      <c r="D20" s="30">
        <f t="shared" si="2"/>
        <v>2.1457692307692309</v>
      </c>
      <c r="E20" s="30">
        <f t="shared" si="0"/>
        <v>0.54717115384615356</v>
      </c>
    </row>
    <row r="21" spans="1:5" x14ac:dyDescent="0.6">
      <c r="A21" s="139">
        <v>4</v>
      </c>
      <c r="B21" s="30">
        <v>1</v>
      </c>
      <c r="C21" s="30">
        <f t="shared" si="3"/>
        <v>34.332307692307673</v>
      </c>
      <c r="D21" s="30">
        <f t="shared" si="2"/>
        <v>2.1457692307692309</v>
      </c>
      <c r="E21" s="30">
        <f t="shared" si="0"/>
        <v>0.51498461538461504</v>
      </c>
    </row>
    <row r="22" spans="1:5" x14ac:dyDescent="0.6">
      <c r="A22" s="139"/>
      <c r="B22" s="30">
        <v>2</v>
      </c>
      <c r="C22" s="30">
        <f t="shared" si="3"/>
        <v>32.18653846153844</v>
      </c>
      <c r="D22" s="30">
        <f t="shared" si="2"/>
        <v>2.1457692307692309</v>
      </c>
      <c r="E22" s="30">
        <f t="shared" si="0"/>
        <v>0.48279807692307658</v>
      </c>
    </row>
    <row r="23" spans="1:5" x14ac:dyDescent="0.6">
      <c r="A23" s="139"/>
      <c r="B23" s="30">
        <v>3</v>
      </c>
      <c r="C23" s="30">
        <f t="shared" si="3"/>
        <v>30.040769230769207</v>
      </c>
      <c r="D23" s="30">
        <f t="shared" si="2"/>
        <v>2.1457692307692309</v>
      </c>
      <c r="E23" s="30">
        <f t="shared" si="0"/>
        <v>0.45061153846153812</v>
      </c>
    </row>
    <row r="24" spans="1:5" x14ac:dyDescent="0.6">
      <c r="A24" s="139"/>
      <c r="B24" s="30">
        <v>4</v>
      </c>
      <c r="C24" s="30">
        <f t="shared" si="3"/>
        <v>27.894999999999975</v>
      </c>
      <c r="D24" s="30">
        <f t="shared" si="2"/>
        <v>2.1457692307692309</v>
      </c>
      <c r="E24" s="30">
        <f t="shared" si="0"/>
        <v>0.4184249999999996</v>
      </c>
    </row>
    <row r="25" spans="1:5" x14ac:dyDescent="0.6">
      <c r="A25" s="139">
        <v>5</v>
      </c>
      <c r="B25" s="30">
        <v>1</v>
      </c>
      <c r="C25" s="30">
        <f t="shared" si="3"/>
        <v>25.749230769230742</v>
      </c>
      <c r="D25" s="30">
        <f t="shared" si="2"/>
        <v>2.1457692307692309</v>
      </c>
      <c r="E25" s="30">
        <f t="shared" si="0"/>
        <v>0.38623846153846114</v>
      </c>
    </row>
    <row r="26" spans="1:5" x14ac:dyDescent="0.6">
      <c r="A26" s="139"/>
      <c r="B26" s="30">
        <v>2</v>
      </c>
      <c r="C26" s="30">
        <f t="shared" si="3"/>
        <v>23.603461538461509</v>
      </c>
      <c r="D26" s="30">
        <f t="shared" si="2"/>
        <v>2.1457692307692309</v>
      </c>
      <c r="E26" s="30">
        <f t="shared" si="0"/>
        <v>0.35405192307692263</v>
      </c>
    </row>
    <row r="27" spans="1:5" x14ac:dyDescent="0.6">
      <c r="A27" s="139"/>
      <c r="B27" s="30">
        <v>3</v>
      </c>
      <c r="C27" s="30">
        <f t="shared" si="3"/>
        <v>21.457692307692277</v>
      </c>
      <c r="D27" s="30">
        <f t="shared" si="2"/>
        <v>2.1457692307692309</v>
      </c>
      <c r="E27" s="30">
        <f t="shared" si="0"/>
        <v>0.32186538461538416</v>
      </c>
    </row>
    <row r="28" spans="1:5" x14ac:dyDescent="0.6">
      <c r="A28" s="139"/>
      <c r="B28" s="30">
        <v>4</v>
      </c>
      <c r="C28" s="30">
        <f t="shared" si="3"/>
        <v>19.311923076923044</v>
      </c>
      <c r="D28" s="30">
        <f t="shared" si="2"/>
        <v>2.1457692307692309</v>
      </c>
      <c r="E28" s="30">
        <f t="shared" si="0"/>
        <v>0.28967884615384565</v>
      </c>
    </row>
    <row r="29" spans="1:5" x14ac:dyDescent="0.6">
      <c r="A29" s="139">
        <v>6</v>
      </c>
      <c r="B29" s="30">
        <v>1</v>
      </c>
      <c r="C29" s="30">
        <f t="shared" si="3"/>
        <v>17.166153846153811</v>
      </c>
      <c r="D29" s="30">
        <f t="shared" si="2"/>
        <v>2.1457692307692309</v>
      </c>
      <c r="E29" s="30">
        <f t="shared" si="0"/>
        <v>0.25749230769230719</v>
      </c>
    </row>
    <row r="30" spans="1:5" x14ac:dyDescent="0.6">
      <c r="A30" s="139"/>
      <c r="B30" s="30">
        <v>2</v>
      </c>
      <c r="C30" s="30">
        <f t="shared" si="3"/>
        <v>15.020384615384581</v>
      </c>
      <c r="D30" s="30">
        <f t="shared" si="2"/>
        <v>2.1457692307692309</v>
      </c>
      <c r="E30" s="30">
        <f t="shared" si="0"/>
        <v>0.2253057692307687</v>
      </c>
    </row>
    <row r="31" spans="1:5" x14ac:dyDescent="0.6">
      <c r="A31" s="139"/>
      <c r="B31" s="30">
        <v>3</v>
      </c>
      <c r="C31" s="30">
        <f t="shared" si="3"/>
        <v>12.87461538461535</v>
      </c>
      <c r="D31" s="30">
        <f t="shared" si="2"/>
        <v>2.1457692307692309</v>
      </c>
      <c r="E31" s="30">
        <f t="shared" si="0"/>
        <v>0.19311923076923024</v>
      </c>
    </row>
    <row r="32" spans="1:5" x14ac:dyDescent="0.6">
      <c r="A32" s="139"/>
      <c r="B32" s="30">
        <v>4</v>
      </c>
      <c r="C32" s="30">
        <f t="shared" si="3"/>
        <v>10.728846153846119</v>
      </c>
      <c r="D32" s="30">
        <f t="shared" si="2"/>
        <v>2.1457692307692309</v>
      </c>
      <c r="E32" s="30">
        <f t="shared" si="0"/>
        <v>0.16093269230769178</v>
      </c>
    </row>
    <row r="33" spans="1:5" x14ac:dyDescent="0.6">
      <c r="A33" s="139">
        <v>7</v>
      </c>
      <c r="B33" s="30">
        <v>1</v>
      </c>
      <c r="C33" s="30">
        <f t="shared" si="3"/>
        <v>8.583076923076888</v>
      </c>
      <c r="D33" s="30">
        <f t="shared" si="2"/>
        <v>2.1457692307692309</v>
      </c>
      <c r="E33" s="30">
        <f t="shared" si="0"/>
        <v>0.12874615384615332</v>
      </c>
    </row>
    <row r="34" spans="1:5" x14ac:dyDescent="0.6">
      <c r="A34" s="139"/>
      <c r="B34" s="30">
        <v>2</v>
      </c>
      <c r="C34" s="30">
        <f t="shared" si="3"/>
        <v>6.4373076923076571</v>
      </c>
      <c r="D34" s="30">
        <f t="shared" si="2"/>
        <v>2.1457692307692309</v>
      </c>
      <c r="E34" s="30">
        <f t="shared" si="0"/>
        <v>9.6559615384614855E-2</v>
      </c>
    </row>
    <row r="35" spans="1:5" x14ac:dyDescent="0.6">
      <c r="A35" s="139"/>
      <c r="B35" s="30">
        <v>3</v>
      </c>
      <c r="C35" s="30">
        <f t="shared" si="3"/>
        <v>4.2915384615384262</v>
      </c>
      <c r="D35" s="30">
        <f t="shared" si="2"/>
        <v>2.1457692307692309</v>
      </c>
      <c r="E35" s="30">
        <f t="shared" si="0"/>
        <v>6.4373076923076394E-2</v>
      </c>
    </row>
    <row r="36" spans="1:5" x14ac:dyDescent="0.6">
      <c r="A36" s="139"/>
      <c r="B36" s="30">
        <v>4</v>
      </c>
      <c r="C36" s="30">
        <f t="shared" si="3"/>
        <v>2.1457692307691953</v>
      </c>
      <c r="D36" s="108">
        <f>D4-SUM(D9:D35)</f>
        <v>2.1457692307691971</v>
      </c>
      <c r="E36" s="30">
        <f t="shared" si="0"/>
        <v>3.2186538461537927E-2</v>
      </c>
    </row>
  </sheetData>
  <mergeCells count="7">
    <mergeCell ref="A33:A36"/>
    <mergeCell ref="A9:A12"/>
    <mergeCell ref="A13:A16"/>
    <mergeCell ref="A17:A20"/>
    <mergeCell ref="A21:A24"/>
    <mergeCell ref="A25:A28"/>
    <mergeCell ref="A29:A3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1C3B-78D2-43F9-ABE8-F6A84BAA4AE1}">
  <sheetPr>
    <pageSetUpPr fitToPage="1"/>
  </sheetPr>
  <dimension ref="A1:L32"/>
  <sheetViews>
    <sheetView workbookViewId="0">
      <selection activeCell="A12" sqref="A12"/>
    </sheetView>
  </sheetViews>
  <sheetFormatPr defaultRowHeight="17" x14ac:dyDescent="0.6"/>
  <cols>
    <col min="1" max="1" width="41.1796875" style="2" bestFit="1" customWidth="1"/>
    <col min="2" max="2" width="14.7265625" style="2" customWidth="1"/>
    <col min="3" max="11" width="14.7265625" style="2" bestFit="1" customWidth="1"/>
    <col min="12" max="12" width="13.6328125" style="2" bestFit="1" customWidth="1"/>
    <col min="13" max="16384" width="8.7265625" style="2"/>
  </cols>
  <sheetData>
    <row r="1" spans="1:11" x14ac:dyDescent="0.6">
      <c r="A1" s="1" t="s">
        <v>247</v>
      </c>
      <c r="B1" s="1"/>
    </row>
    <row r="2" spans="1:11" x14ac:dyDescent="0.6">
      <c r="A2" s="1"/>
      <c r="B2" s="1"/>
    </row>
    <row r="3" spans="1:11" x14ac:dyDescent="0.6">
      <c r="A3" s="61" t="s">
        <v>3</v>
      </c>
      <c r="B3" s="61">
        <v>0</v>
      </c>
      <c r="C3" s="61" t="s">
        <v>38</v>
      </c>
      <c r="D3" s="61" t="s">
        <v>39</v>
      </c>
      <c r="E3" s="61" t="s">
        <v>40</v>
      </c>
      <c r="F3" s="61" t="s">
        <v>41</v>
      </c>
      <c r="G3" s="61" t="s">
        <v>42</v>
      </c>
      <c r="H3" s="61" t="s">
        <v>43</v>
      </c>
      <c r="I3" s="61" t="s">
        <v>44</v>
      </c>
      <c r="J3" s="61" t="s">
        <v>45</v>
      </c>
      <c r="K3" s="61" t="s">
        <v>46</v>
      </c>
    </row>
    <row r="4" spans="1:11" x14ac:dyDescent="0.6">
      <c r="A4" s="30" t="s">
        <v>150</v>
      </c>
      <c r="B4" s="42">
        <f>'Ann 2'!C7*100000</f>
        <v>100000</v>
      </c>
      <c r="C4" s="42">
        <f>B21</f>
        <v>100000</v>
      </c>
      <c r="D4" s="42">
        <f>C21</f>
        <v>4058867.6653846158</v>
      </c>
      <c r="E4" s="42">
        <f t="shared" ref="E4:K4" si="0">D21</f>
        <v>4292504.370865386</v>
      </c>
      <c r="F4" s="42">
        <f t="shared" si="0"/>
        <v>4481742.7167115407</v>
      </c>
      <c r="G4" s="42">
        <f t="shared" si="0"/>
        <v>4612121.2048280789</v>
      </c>
      <c r="H4" s="42">
        <f t="shared" si="0"/>
        <v>4696262.8225522516</v>
      </c>
      <c r="I4" s="42">
        <f t="shared" si="0"/>
        <v>5078187.4030084098</v>
      </c>
      <c r="J4" s="42">
        <f t="shared" si="0"/>
        <v>5538085.5247953339</v>
      </c>
      <c r="K4" s="42">
        <f t="shared" si="0"/>
        <v>6859092.5149288569</v>
      </c>
    </row>
    <row r="5" spans="1:11" x14ac:dyDescent="0.6">
      <c r="A5" s="30" t="s">
        <v>187</v>
      </c>
      <c r="B5" s="42">
        <f>'Ann 2'!C4*100000</f>
        <v>631000</v>
      </c>
      <c r="C5" s="42">
        <v>0</v>
      </c>
      <c r="D5" s="42">
        <v>0</v>
      </c>
      <c r="E5" s="42">
        <v>0</v>
      </c>
      <c r="F5" s="42">
        <v>0</v>
      </c>
      <c r="G5" s="42">
        <v>0</v>
      </c>
      <c r="H5" s="42">
        <v>0</v>
      </c>
      <c r="I5" s="42">
        <v>0</v>
      </c>
      <c r="J5" s="42">
        <v>0</v>
      </c>
      <c r="K5" s="42">
        <v>0</v>
      </c>
    </row>
    <row r="6" spans="1:11" x14ac:dyDescent="0.6">
      <c r="A6" s="30" t="s">
        <v>188</v>
      </c>
      <c r="B6" s="42">
        <f>'Ann 2'!C6*100000</f>
        <v>5579000</v>
      </c>
      <c r="C6" s="42">
        <v>0</v>
      </c>
      <c r="D6" s="42">
        <v>0</v>
      </c>
      <c r="E6" s="42">
        <v>0</v>
      </c>
      <c r="F6" s="42">
        <v>0</v>
      </c>
      <c r="G6" s="42">
        <v>0</v>
      </c>
      <c r="H6" s="42">
        <v>0</v>
      </c>
      <c r="I6" s="42">
        <v>0</v>
      </c>
      <c r="J6" s="42">
        <v>0</v>
      </c>
      <c r="K6" s="42">
        <v>0</v>
      </c>
    </row>
    <row r="7" spans="1:11" x14ac:dyDescent="0.6">
      <c r="A7" s="30" t="s">
        <v>189</v>
      </c>
      <c r="B7" s="42">
        <f>'Ann 9'!F9*100000</f>
        <v>6200000</v>
      </c>
      <c r="C7" s="42">
        <v>0</v>
      </c>
      <c r="D7" s="42">
        <v>0</v>
      </c>
      <c r="E7" s="42">
        <v>0</v>
      </c>
      <c r="F7" s="42">
        <v>0</v>
      </c>
      <c r="G7" s="42">
        <v>0</v>
      </c>
      <c r="H7" s="42">
        <v>0</v>
      </c>
      <c r="I7" s="42">
        <v>0</v>
      </c>
      <c r="J7" s="42">
        <v>0</v>
      </c>
      <c r="K7" s="42">
        <v>0</v>
      </c>
    </row>
    <row r="8" spans="1:11" x14ac:dyDescent="0.6">
      <c r="A8" s="30" t="s">
        <v>228</v>
      </c>
      <c r="B8" s="42">
        <f>'Ann 1'!C8*100000</f>
        <v>0</v>
      </c>
      <c r="C8" s="42"/>
      <c r="D8" s="42"/>
      <c r="E8" s="42"/>
      <c r="F8" s="42"/>
      <c r="G8" s="42"/>
      <c r="H8" s="42"/>
      <c r="I8" s="42"/>
      <c r="J8" s="42"/>
      <c r="K8" s="42"/>
    </row>
    <row r="9" spans="1:11" x14ac:dyDescent="0.6">
      <c r="A9" s="30" t="s">
        <v>151</v>
      </c>
      <c r="B9" s="42"/>
      <c r="C9" s="42">
        <f>'Ann 4'!C22+'Ann 4'!C23-'Ann 5'!C12</f>
        <v>12013200</v>
      </c>
      <c r="D9" s="42">
        <f>'Ann 4'!D22+'Ann 4'!D23-'Ann 5'!D12</f>
        <v>13125753</v>
      </c>
      <c r="E9" s="42">
        <f>'Ann 4'!E22+'Ann 4'!E23-'Ann 5'!E12</f>
        <v>14120794.800000001</v>
      </c>
      <c r="F9" s="42">
        <f>'Ann 4'!F22+'Ann 4'!F23-'Ann 5'!F12</f>
        <v>15115939.415999999</v>
      </c>
      <c r="G9" s="42">
        <f>'Ann 4'!G22+'Ann 4'!G23-'Ann 5'!G12</f>
        <v>16111188.904319998</v>
      </c>
      <c r="H9" s="42">
        <f>'Ann 4'!H22+'Ann 4'!H23-'Ann 5'!H12</f>
        <v>17446511.362406399</v>
      </c>
      <c r="I9" s="42">
        <f>'Ann 4'!I22+'Ann 4'!I23-'Ann 5'!I12</f>
        <v>18461974.929654527</v>
      </c>
      <c r="J9" s="42">
        <f>'Ann 4'!J22+'Ann 4'!J23-'Ann 5'!J12</f>
        <v>19477549.788247619</v>
      </c>
      <c r="K9" s="42">
        <f>'Ann 4'!K22+'Ann 4'!K23-'Ann 5'!K12</f>
        <v>20453242.164012574</v>
      </c>
    </row>
    <row r="10" spans="1:11" x14ac:dyDescent="0.6">
      <c r="A10" s="30" t="s">
        <v>164</v>
      </c>
      <c r="B10" s="42">
        <v>0</v>
      </c>
      <c r="C10" s="42">
        <v>0</v>
      </c>
      <c r="D10" s="42">
        <f>'Ann 5'!C24</f>
        <v>6480000</v>
      </c>
      <c r="E10" s="42">
        <f>'Ann 5'!D24</f>
        <v>7020000</v>
      </c>
      <c r="F10" s="42">
        <f>'Ann 5'!E24</f>
        <v>7560000</v>
      </c>
      <c r="G10" s="42">
        <f>'Ann 5'!F24</f>
        <v>8100000</v>
      </c>
      <c r="H10" s="42">
        <f>'Ann 5'!G24</f>
        <v>8640000</v>
      </c>
      <c r="I10" s="42">
        <f>'Ann 5'!H24</f>
        <v>9180000</v>
      </c>
      <c r="J10" s="42">
        <f>'Ann 5'!I24</f>
        <v>9720000</v>
      </c>
      <c r="K10" s="42">
        <f>'Ann 5'!J24</f>
        <v>10260000</v>
      </c>
    </row>
    <row r="11" spans="1:11" x14ac:dyDescent="0.6">
      <c r="A11" s="30" t="s">
        <v>165</v>
      </c>
      <c r="B11" s="42">
        <v>0</v>
      </c>
      <c r="C11" s="42">
        <v>0</v>
      </c>
      <c r="D11" s="42">
        <f>'Ann 5'!C12</f>
        <v>3003300</v>
      </c>
      <c r="E11" s="42">
        <f>'Ann 5'!D12</f>
        <v>3281438.25</v>
      </c>
      <c r="F11" s="42">
        <f>'Ann 5'!E12</f>
        <v>3530198.7</v>
      </c>
      <c r="G11" s="42">
        <f>'Ann 5'!F12</f>
        <v>3778984.8540000003</v>
      </c>
      <c r="H11" s="42">
        <f>'Ann 5'!G12</f>
        <v>4027797.2260799995</v>
      </c>
      <c r="I11" s="42">
        <f>'Ann 5'!H12</f>
        <v>4361627.8406015998</v>
      </c>
      <c r="J11" s="42">
        <f>'Ann 5'!I12</f>
        <v>4615493.7324136319</v>
      </c>
      <c r="K11" s="42">
        <f>'Ann 5'!J12</f>
        <v>4869387.4470619047</v>
      </c>
    </row>
    <row r="12" spans="1:11" x14ac:dyDescent="0.6">
      <c r="A12" s="30" t="s">
        <v>166</v>
      </c>
      <c r="B12" s="42">
        <v>0</v>
      </c>
      <c r="C12" s="42">
        <f>'Ann 4'!C12+'Ann 4'!C19-'Ann 5'!C24</f>
        <v>6543325</v>
      </c>
      <c r="D12" s="42">
        <f>'Ann 4'!D12+'Ann 4'!D19-'Ann 5'!D24</f>
        <v>7026047.0625</v>
      </c>
      <c r="E12" s="42">
        <f>'Ann 4'!E12+'Ann 4'!E19-'Ann 5'!E24</f>
        <v>7503913.1999999993</v>
      </c>
      <c r="F12" s="42">
        <f>'Ann 4'!F12+'Ann 4'!F19-'Ann 5'!F24</f>
        <v>7984437.6367500015</v>
      </c>
      <c r="G12" s="42">
        <f>'Ann 4'!G12+'Ann 4'!G19-'Ann 5'!G24</f>
        <v>8467794.9305624999</v>
      </c>
      <c r="H12" s="42">
        <f>'Ann 4'!H12+'Ann 4'!H19-'Ann 5'!H24</f>
        <v>8975419.3576655239</v>
      </c>
      <c r="I12" s="42">
        <f>'Ann 4'!I12+'Ann 4'!I19-'Ann 5'!I24</f>
        <v>9466264.0999653973</v>
      </c>
      <c r="J12" s="42">
        <f>'Ann 4'!J12+'Ann 4'!J19-'Ann 5'!J24</f>
        <v>9960539.7383491471</v>
      </c>
      <c r="K12" s="42">
        <f>'Ann 4'!K12+'Ann 4'!K19-'Ann 5'!K24</f>
        <v>10455973.555908568</v>
      </c>
    </row>
    <row r="13" spans="1:11" x14ac:dyDescent="0.6">
      <c r="A13" s="30" t="s">
        <v>213</v>
      </c>
      <c r="B13" s="42">
        <f>'Ann 4'!C32</f>
        <v>10000</v>
      </c>
      <c r="C13" s="42">
        <v>0</v>
      </c>
      <c r="D13" s="42">
        <v>0</v>
      </c>
      <c r="E13" s="42">
        <v>0</v>
      </c>
      <c r="F13" s="42">
        <v>0</v>
      </c>
      <c r="G13" s="42">
        <v>0</v>
      </c>
      <c r="H13" s="42">
        <v>0</v>
      </c>
      <c r="I13" s="42">
        <v>0</v>
      </c>
      <c r="J13" s="42">
        <v>0</v>
      </c>
      <c r="K13" s="42">
        <v>0</v>
      </c>
    </row>
    <row r="14" spans="1:11" x14ac:dyDescent="0.6">
      <c r="A14" s="30" t="s">
        <v>152</v>
      </c>
      <c r="B14" s="42">
        <v>0</v>
      </c>
      <c r="C14" s="42">
        <f>'Ann 4'!C29</f>
        <v>341521.34615384613</v>
      </c>
      <c r="D14" s="42">
        <f>'Ann 4'!D29</f>
        <v>299678.84615384607</v>
      </c>
      <c r="E14" s="42">
        <f>'Ann 4'!E29</f>
        <v>248180.38461538454</v>
      </c>
      <c r="F14" s="42">
        <f>'Ann 4'!F29</f>
        <v>196681.92307692292</v>
      </c>
      <c r="G14" s="42">
        <f>'Ann 4'!G29</f>
        <v>145183.46153846136</v>
      </c>
      <c r="H14" s="42">
        <f>'Ann 4'!H29</f>
        <v>93684.999999999782</v>
      </c>
      <c r="I14" s="42">
        <f>'Ann 4'!I29</f>
        <v>42186.538461538243</v>
      </c>
      <c r="J14" s="42">
        <f>'Ann 4'!J29</f>
        <v>10000</v>
      </c>
      <c r="K14" s="42">
        <f>'Ann 4'!K29</f>
        <v>10000</v>
      </c>
    </row>
    <row r="15" spans="1:11" x14ac:dyDescent="0.6">
      <c r="A15" s="30"/>
      <c r="B15" s="42">
        <f>B4+B5+B6-B7-B8-B13</f>
        <v>100000</v>
      </c>
      <c r="C15" s="42">
        <f>C4+C9-C10+C11-C12-C14+C5+C6-C7</f>
        <v>5228353.653846154</v>
      </c>
      <c r="D15" s="42">
        <f>D4+D9-D10+D11-D12-D14+D5+D6-D7</f>
        <v>6382194.7567307707</v>
      </c>
      <c r="E15" s="42">
        <f>E4+E9-E10+E11-E12-E14+E5+E6-E7</f>
        <v>6922643.8362500025</v>
      </c>
      <c r="F15" s="42">
        <f t="shared" ref="F15:K15" si="1">F4+F9-F10+F11-F12-F14+F5+F6-F7</f>
        <v>7386761.2728846157</v>
      </c>
      <c r="G15" s="42">
        <f t="shared" si="1"/>
        <v>7789316.571047117</v>
      </c>
      <c r="H15" s="42">
        <f t="shared" si="1"/>
        <v>8461467.0533731282</v>
      </c>
      <c r="I15" s="42">
        <f t="shared" si="1"/>
        <v>9213339.5348376017</v>
      </c>
      <c r="J15" s="42">
        <f t="shared" si="1"/>
        <v>9940589.3071074374</v>
      </c>
      <c r="K15" s="42">
        <f t="shared" si="1"/>
        <v>11455748.570094764</v>
      </c>
    </row>
    <row r="16" spans="1:11" x14ac:dyDescent="0.6">
      <c r="A16" s="30" t="s">
        <v>168</v>
      </c>
      <c r="B16" s="42">
        <v>0</v>
      </c>
      <c r="C16" s="42">
        <f>'Ann 4'!C35</f>
        <v>261046.09615384619</v>
      </c>
      <c r="D16" s="42">
        <f>'Ann 4'!D35</f>
        <v>429552.10240384616</v>
      </c>
      <c r="E16" s="42">
        <f>'Ann 4'!E35</f>
        <v>552067.47461538482</v>
      </c>
      <c r="F16" s="42">
        <f>'Ann 4'!F35</f>
        <v>668488.03805192269</v>
      </c>
      <c r="G16" s="42">
        <f>'Ann 4'!G35</f>
        <v>779562.57773971162</v>
      </c>
      <c r="H16" s="42">
        <f>'Ann 4'!H35</f>
        <v>880804.17141524167</v>
      </c>
      <c r="I16" s="42">
        <f>'Ann 4'!I35</f>
        <v>982655.69223299238</v>
      </c>
      <c r="J16" s="42">
        <f>'Ann 4'!J35</f>
        <v>1074940.7414576442</v>
      </c>
      <c r="K16" s="42">
        <f>'Ann 4'!K35</f>
        <v>1154748.8882462452</v>
      </c>
    </row>
    <row r="17" spans="1:12" x14ac:dyDescent="0.6">
      <c r="A17" s="30"/>
      <c r="B17" s="42">
        <v>0</v>
      </c>
      <c r="C17" s="42">
        <f>C15-C16</f>
        <v>4967307.557692308</v>
      </c>
      <c r="D17" s="42">
        <f t="shared" ref="D17:K17" si="2">D15-D16</f>
        <v>5952642.6543269241</v>
      </c>
      <c r="E17" s="42">
        <f t="shared" si="2"/>
        <v>6370576.3616346177</v>
      </c>
      <c r="F17" s="42">
        <f t="shared" si="2"/>
        <v>6718273.2348326929</v>
      </c>
      <c r="G17" s="42">
        <f t="shared" si="2"/>
        <v>7009753.9933074052</v>
      </c>
      <c r="H17" s="42">
        <f t="shared" si="2"/>
        <v>7580662.8819578867</v>
      </c>
      <c r="I17" s="42">
        <f t="shared" si="2"/>
        <v>8230683.8426046092</v>
      </c>
      <c r="J17" s="42">
        <f t="shared" si="2"/>
        <v>8865648.5656497926</v>
      </c>
      <c r="K17" s="42">
        <f t="shared" si="2"/>
        <v>10300999.681848519</v>
      </c>
    </row>
    <row r="18" spans="1:12" x14ac:dyDescent="0.6">
      <c r="A18" s="30" t="s">
        <v>167</v>
      </c>
      <c r="B18" s="42">
        <v>0</v>
      </c>
      <c r="C18" s="42">
        <f>'Ann 4'!C37</f>
        <v>479286.0461538462</v>
      </c>
      <c r="D18" s="42">
        <f>'Ann 4'!D37</f>
        <v>801830.59115384636</v>
      </c>
      <c r="E18" s="42">
        <f>'Ann 4'!E37</f>
        <v>1030525.9526153852</v>
      </c>
      <c r="F18" s="42">
        <f>'Ann 4'!F37</f>
        <v>1247844.3376969222</v>
      </c>
      <c r="G18" s="42">
        <f>'Ann 4'!G37</f>
        <v>1455183.4784474617</v>
      </c>
      <c r="H18" s="42">
        <f>'Ann 4'!H37</f>
        <v>1644167.7866417847</v>
      </c>
      <c r="I18" s="42">
        <f>'Ann 4'!I37</f>
        <v>1834290.6255015859</v>
      </c>
      <c r="J18" s="42">
        <f>'Ann 4'!J37</f>
        <v>2006556.0507209362</v>
      </c>
      <c r="K18" s="42">
        <f>'Ann 4'!K37</f>
        <v>2155531.2580596576</v>
      </c>
    </row>
    <row r="19" spans="1:12" x14ac:dyDescent="0.6">
      <c r="A19" s="30"/>
      <c r="B19" s="42">
        <v>0</v>
      </c>
      <c r="C19" s="42">
        <f>C17-C18</f>
        <v>4488021.5115384618</v>
      </c>
      <c r="D19" s="42">
        <f t="shared" ref="D19:K19" si="3">D17-D18</f>
        <v>5150812.063173078</v>
      </c>
      <c r="E19" s="42">
        <f t="shared" si="3"/>
        <v>5340050.4090192327</v>
      </c>
      <c r="F19" s="42">
        <f t="shared" si="3"/>
        <v>5470428.8971357709</v>
      </c>
      <c r="G19" s="42">
        <f t="shared" si="3"/>
        <v>5554570.5148599437</v>
      </c>
      <c r="H19" s="42">
        <f t="shared" si="3"/>
        <v>5936495.0953161018</v>
      </c>
      <c r="I19" s="42">
        <f t="shared" si="3"/>
        <v>6396393.2171030231</v>
      </c>
      <c r="J19" s="42">
        <f t="shared" si="3"/>
        <v>6859092.5149288569</v>
      </c>
      <c r="K19" s="42">
        <f t="shared" si="3"/>
        <v>8145468.4237888604</v>
      </c>
    </row>
    <row r="20" spans="1:12" x14ac:dyDescent="0.6">
      <c r="A20" s="30" t="s">
        <v>169</v>
      </c>
      <c r="B20" s="42">
        <v>0</v>
      </c>
      <c r="C20" s="42">
        <f>SUM('Ann 13'!D9:D12)*100000</f>
        <v>429153.84615384619</v>
      </c>
      <c r="D20" s="42">
        <f>SUM('Ann 13'!D13:D16)*100000</f>
        <v>858307.69230769237</v>
      </c>
      <c r="E20" s="42">
        <f>SUM('Ann 13'!D17:D20)*100000</f>
        <v>858307.69230769237</v>
      </c>
      <c r="F20" s="42">
        <f>SUM('Ann 13'!D21:D24)*100000</f>
        <v>858307.69230769237</v>
      </c>
      <c r="G20" s="42">
        <f>SUM('Ann 13'!D25:D28)*100000</f>
        <v>858307.69230769237</v>
      </c>
      <c r="H20" s="42">
        <f>SUM('Ann 13'!D29:D32)*100000</f>
        <v>858307.69230769237</v>
      </c>
      <c r="I20" s="42">
        <f>SUM('Ann 13'!D33:D36)*100000</f>
        <v>858307.69230768899</v>
      </c>
      <c r="J20" s="42">
        <v>0</v>
      </c>
      <c r="K20" s="42">
        <v>0</v>
      </c>
    </row>
    <row r="21" spans="1:12" x14ac:dyDescent="0.6">
      <c r="A21" s="30" t="s">
        <v>170</v>
      </c>
      <c r="B21" s="42">
        <f>B4+B5+B6-B7-B13-B8</f>
        <v>100000</v>
      </c>
      <c r="C21" s="42">
        <f>C19-C20</f>
        <v>4058867.6653846158</v>
      </c>
      <c r="D21" s="42">
        <f>D19-D20</f>
        <v>4292504.370865386</v>
      </c>
      <c r="E21" s="42">
        <f>E19-E20</f>
        <v>4481742.7167115407</v>
      </c>
      <c r="F21" s="42">
        <f t="shared" ref="F21:K21" si="4">F19-F20</f>
        <v>4612121.2048280789</v>
      </c>
      <c r="G21" s="42">
        <f t="shared" si="4"/>
        <v>4696262.8225522516</v>
      </c>
      <c r="H21" s="42">
        <f t="shared" si="4"/>
        <v>5078187.4030084098</v>
      </c>
      <c r="I21" s="42">
        <f t="shared" si="4"/>
        <v>5538085.5247953339</v>
      </c>
      <c r="J21" s="42">
        <f t="shared" si="4"/>
        <v>6859092.5149288569</v>
      </c>
      <c r="K21" s="42">
        <f t="shared" si="4"/>
        <v>8145468.4237888604</v>
      </c>
    </row>
    <row r="22" spans="1:12" x14ac:dyDescent="0.6">
      <c r="B22" s="41"/>
    </row>
    <row r="23" spans="1:12" x14ac:dyDescent="0.6">
      <c r="A23" s="100" t="s">
        <v>171</v>
      </c>
      <c r="B23" s="101">
        <v>0.06</v>
      </c>
      <c r="C23" s="102"/>
      <c r="D23" s="100"/>
      <c r="E23" s="100"/>
      <c r="F23" s="100"/>
      <c r="G23" s="100"/>
      <c r="H23" s="100"/>
      <c r="I23" s="100"/>
      <c r="J23" s="100"/>
      <c r="K23" s="100"/>
      <c r="L23" s="100"/>
    </row>
    <row r="24" spans="1:12" x14ac:dyDescent="0.6">
      <c r="A24" s="100" t="s">
        <v>172</v>
      </c>
      <c r="B24" s="100">
        <v>1</v>
      </c>
      <c r="C24" s="103">
        <f>1/(1+$B$23)</f>
        <v>0.94339622641509424</v>
      </c>
      <c r="D24" s="103">
        <f>1/((1+$B$23)*(1+$B$23))</f>
        <v>0.88999644001423983</v>
      </c>
      <c r="E24" s="103">
        <f>1/((1+$B$23)*(1+$B$23)*(1+$B$23))</f>
        <v>0.8396192830323016</v>
      </c>
      <c r="F24" s="103">
        <f>1/((1+$B$23)*(1+$B$23)*(1+$B$23)*(1+$B$23))</f>
        <v>0.79209366323802044</v>
      </c>
      <c r="G24" s="103">
        <f>1/((1+$B$23)*(1+$B$23)*(1+$B$23)*(1+$B$23)*(1+$B$23))</f>
        <v>0.74725817286605689</v>
      </c>
      <c r="H24" s="103">
        <f>1/((1+$B$23)*(1+$B$23)*(1+$B$23)*(1+$B$23)*(1+$B$23)*(1+$B$23))</f>
        <v>0.70496054043967626</v>
      </c>
      <c r="I24" s="103">
        <f>1/((1+$B$23)*(1+$B$23)*(1+$B$23)*(1+$B$23)*(1+$B$23)*(1+$B$23)*(1+$B$23))</f>
        <v>0.6650571136223361</v>
      </c>
      <c r="J24" s="103">
        <f>1/((1+$B$23)*(1+$B$23)*(1+$B$23)*(1+$B$23)*(1+$B$23)*(1+$B$23)*(1+$B$23)*(1+$B$23))</f>
        <v>0.62741237134182648</v>
      </c>
      <c r="K24" s="103">
        <f>1/((1+$B$23)*(1+$B$23)*(1+$B$23)*(1+$B$23)*(1+$B$23)*(1+$B$23)*(1+$B$23)*(1+$B$23)*(1+$B$23))</f>
        <v>0.59189846353002495</v>
      </c>
      <c r="L24" s="100"/>
    </row>
    <row r="25" spans="1:12" x14ac:dyDescent="0.6">
      <c r="A25" s="100" t="s">
        <v>173</v>
      </c>
      <c r="B25" s="100">
        <f>B4+B9+B11+B5+B6</f>
        <v>6310000</v>
      </c>
      <c r="C25" s="100">
        <f>C4+C9+C11+C5+C6</f>
        <v>12113200</v>
      </c>
      <c r="D25" s="100">
        <f t="shared" ref="D25:K25" si="5">D4+D9+D11</f>
        <v>20187920.665384617</v>
      </c>
      <c r="E25" s="100">
        <f t="shared" si="5"/>
        <v>21694737.420865387</v>
      </c>
      <c r="F25" s="100">
        <f t="shared" si="5"/>
        <v>23127880.83271154</v>
      </c>
      <c r="G25" s="100">
        <f t="shared" si="5"/>
        <v>24502294.96314808</v>
      </c>
      <c r="H25" s="100">
        <f t="shared" si="5"/>
        <v>26170571.411038652</v>
      </c>
      <c r="I25" s="100">
        <f t="shared" si="5"/>
        <v>27901790.173264537</v>
      </c>
      <c r="J25" s="100">
        <f t="shared" si="5"/>
        <v>29631129.045456585</v>
      </c>
      <c r="K25" s="100">
        <f t="shared" si="5"/>
        <v>32181722.126003332</v>
      </c>
      <c r="L25" s="100"/>
    </row>
    <row r="26" spans="1:12" x14ac:dyDescent="0.6">
      <c r="A26" s="100" t="s">
        <v>174</v>
      </c>
      <c r="B26" s="100">
        <f>B25*B24</f>
        <v>6310000</v>
      </c>
      <c r="C26" s="100">
        <f>C25*C24</f>
        <v>11427547.16981132</v>
      </c>
      <c r="D26" s="100">
        <f t="shared" ref="D26:K26" si="6">D25*D24</f>
        <v>17967177.523482211</v>
      </c>
      <c r="E26" s="100">
        <f t="shared" si="6"/>
        <v>18215319.878881041</v>
      </c>
      <c r="F26" s="100">
        <f t="shared" si="6"/>
        <v>18319447.851714883</v>
      </c>
      <c r="G26" s="100">
        <f t="shared" si="6"/>
        <v>18309540.165187225</v>
      </c>
      <c r="H26" s="100">
        <f t="shared" si="6"/>
        <v>18449220.165540949</v>
      </c>
      <c r="I26" s="100">
        <f t="shared" si="6"/>
        <v>18556284.037527375</v>
      </c>
      <c r="J26" s="100">
        <f t="shared" si="6"/>
        <v>18590936.939945586</v>
      </c>
      <c r="K26" s="100">
        <f t="shared" si="6"/>
        <v>19048311.88013158</v>
      </c>
      <c r="L26" s="100"/>
    </row>
    <row r="27" spans="1:12" x14ac:dyDescent="0.6">
      <c r="A27" s="100" t="s">
        <v>175</v>
      </c>
      <c r="B27" s="100">
        <f>B10+B12+B14+B16+B18+B20+B7+B13+B8</f>
        <v>6210000</v>
      </c>
      <c r="C27" s="100">
        <f t="shared" ref="C27:K27" si="7">C10+C12+C14+C16+C18+C20+C7+C13</f>
        <v>8054332.3346153842</v>
      </c>
      <c r="D27" s="100">
        <f t="shared" si="7"/>
        <v>15895416.294519231</v>
      </c>
      <c r="E27" s="100">
        <f t="shared" si="7"/>
        <v>17212994.704153847</v>
      </c>
      <c r="F27" s="100">
        <f t="shared" si="7"/>
        <v>18515759.62788346</v>
      </c>
      <c r="G27" s="100">
        <f t="shared" si="7"/>
        <v>19806032.140595827</v>
      </c>
      <c r="H27" s="100">
        <f t="shared" si="7"/>
        <v>21092384.008030243</v>
      </c>
      <c r="I27" s="100">
        <f t="shared" si="7"/>
        <v>22363704.648469202</v>
      </c>
      <c r="J27" s="100">
        <f t="shared" si="7"/>
        <v>22772036.53052773</v>
      </c>
      <c r="K27" s="100">
        <f t="shared" si="7"/>
        <v>24036253.702214472</v>
      </c>
      <c r="L27" s="100"/>
    </row>
    <row r="28" spans="1:12" x14ac:dyDescent="0.6">
      <c r="A28" s="100" t="s">
        <v>176</v>
      </c>
      <c r="B28" s="100">
        <f>B27*B24</f>
        <v>6210000</v>
      </c>
      <c r="C28" s="100">
        <f>C27*C24</f>
        <v>7598426.7307692301</v>
      </c>
      <c r="D28" s="100">
        <f t="shared" ref="D28:K28" si="8">D27*D24</f>
        <v>14146863.914666455</v>
      </c>
      <c r="E28" s="100">
        <f t="shared" si="8"/>
        <v>14452362.272340458</v>
      </c>
      <c r="F28" s="100">
        <f t="shared" si="8"/>
        <v>14666215.871284856</v>
      </c>
      <c r="G28" s="100">
        <f t="shared" si="8"/>
        <v>14800219.389108036</v>
      </c>
      <c r="H28" s="100">
        <f t="shared" si="8"/>
        <v>14869298.429462185</v>
      </c>
      <c r="I28" s="100">
        <f t="shared" si="8"/>
        <v>14873140.863413349</v>
      </c>
      <c r="J28" s="100">
        <f t="shared" si="8"/>
        <v>14287457.439901102</v>
      </c>
      <c r="K28" s="100">
        <f t="shared" si="8"/>
        <v>14227021.63535862</v>
      </c>
      <c r="L28" s="100"/>
    </row>
    <row r="29" spans="1:12" x14ac:dyDescent="0.6">
      <c r="A29" s="100"/>
      <c r="B29" s="100"/>
      <c r="C29" s="100"/>
      <c r="D29" s="100"/>
      <c r="E29" s="100"/>
      <c r="F29" s="100"/>
      <c r="G29" s="100"/>
      <c r="H29" s="100"/>
      <c r="I29" s="100"/>
      <c r="J29" s="100"/>
      <c r="K29" s="100"/>
      <c r="L29" s="100"/>
    </row>
    <row r="30" spans="1:12" x14ac:dyDescent="0.6">
      <c r="A30" s="100" t="s">
        <v>177</v>
      </c>
      <c r="B30" s="100">
        <f>B25-B27</f>
        <v>100000</v>
      </c>
      <c r="C30" s="100">
        <f>C25-C27</f>
        <v>4058867.6653846158</v>
      </c>
      <c r="D30" s="100">
        <f>D25-D27</f>
        <v>4292504.370865386</v>
      </c>
      <c r="E30" s="100">
        <f t="shared" ref="E30:K30" si="9">E25-E27</f>
        <v>4481742.7167115398</v>
      </c>
      <c r="F30" s="100">
        <f t="shared" si="9"/>
        <v>4612121.2048280798</v>
      </c>
      <c r="G30" s="100">
        <f t="shared" si="9"/>
        <v>4696262.8225522526</v>
      </c>
      <c r="H30" s="100">
        <f t="shared" si="9"/>
        <v>5078187.4030084088</v>
      </c>
      <c r="I30" s="100">
        <f t="shared" si="9"/>
        <v>5538085.5247953348</v>
      </c>
      <c r="J30" s="100">
        <f t="shared" si="9"/>
        <v>6859092.514928855</v>
      </c>
      <c r="K30" s="100">
        <f t="shared" si="9"/>
        <v>8145468.4237888604</v>
      </c>
      <c r="L30" s="100"/>
    </row>
    <row r="31" spans="1:12" x14ac:dyDescent="0.6">
      <c r="A31" s="100" t="s">
        <v>178</v>
      </c>
      <c r="B31" s="100">
        <f>B26-B28</f>
        <v>100000</v>
      </c>
      <c r="C31" s="100">
        <f>C30*C24</f>
        <v>3829120.43904209</v>
      </c>
      <c r="D31" s="100">
        <f t="shared" ref="D31:K31" si="10">D30*D24</f>
        <v>3820313.6088157576</v>
      </c>
      <c r="E31" s="100">
        <f t="shared" si="10"/>
        <v>3762957.6065405826</v>
      </c>
      <c r="F31" s="100">
        <f t="shared" si="10"/>
        <v>3653231.9804300261</v>
      </c>
      <c r="G31" s="100">
        <f t="shared" si="10"/>
        <v>3509320.7760791876</v>
      </c>
      <c r="H31" s="100">
        <f t="shared" si="10"/>
        <v>3579921.7360787638</v>
      </c>
      <c r="I31" s="100">
        <f t="shared" si="10"/>
        <v>3683143.1741140257</v>
      </c>
      <c r="J31" s="100">
        <f t="shared" si="10"/>
        <v>4303479.5000444856</v>
      </c>
      <c r="K31" s="100">
        <f t="shared" si="10"/>
        <v>4821290.2447729604</v>
      </c>
      <c r="L31" s="100">
        <f>SUM(C31:K31)</f>
        <v>34962779.065917887</v>
      </c>
    </row>
    <row r="32" spans="1:12" x14ac:dyDescent="0.6">
      <c r="C32" s="41"/>
      <c r="D32" s="41"/>
      <c r="E32" s="41"/>
      <c r="F32" s="41"/>
      <c r="G32" s="41"/>
    </row>
  </sheetData>
  <pageMargins left="0.7" right="0.7" top="0.75" bottom="0.75" header="0.3" footer="0.3"/>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ADB1-212F-431E-A926-791FC9CE0F57}">
  <sheetPr>
    <pageSetUpPr fitToPage="1"/>
  </sheetPr>
  <dimension ref="A1:J31"/>
  <sheetViews>
    <sheetView workbookViewId="0"/>
  </sheetViews>
  <sheetFormatPr defaultRowHeight="17" x14ac:dyDescent="0.6"/>
  <cols>
    <col min="1" max="1" width="40.36328125" style="2" bestFit="1" customWidth="1"/>
    <col min="2" max="10" width="16.08984375" style="2" bestFit="1" customWidth="1"/>
    <col min="11" max="11" width="12.54296875" style="2" bestFit="1" customWidth="1"/>
    <col min="12" max="16384" width="8.7265625" style="2"/>
  </cols>
  <sheetData>
    <row r="1" spans="1:10" x14ac:dyDescent="0.6">
      <c r="A1" s="1" t="s">
        <v>156</v>
      </c>
    </row>
    <row r="2" spans="1:10" x14ac:dyDescent="0.6">
      <c r="A2" s="133" t="s">
        <v>3</v>
      </c>
      <c r="B2" s="134" t="s">
        <v>47</v>
      </c>
      <c r="C2" s="134"/>
      <c r="D2" s="134"/>
      <c r="E2" s="134"/>
      <c r="F2" s="134"/>
      <c r="G2" s="134"/>
      <c r="H2" s="134"/>
      <c r="I2" s="134"/>
      <c r="J2" s="134"/>
    </row>
    <row r="3" spans="1:10" x14ac:dyDescent="0.6">
      <c r="A3" s="133"/>
      <c r="B3" s="45" t="s">
        <v>38</v>
      </c>
      <c r="C3" s="45" t="s">
        <v>39</v>
      </c>
      <c r="D3" s="45" t="s">
        <v>40</v>
      </c>
      <c r="E3" s="45" t="s">
        <v>41</v>
      </c>
      <c r="F3" s="45" t="s">
        <v>42</v>
      </c>
      <c r="G3" s="45" t="s">
        <v>43</v>
      </c>
      <c r="H3" s="45" t="s">
        <v>44</v>
      </c>
      <c r="I3" s="45" t="s">
        <v>45</v>
      </c>
      <c r="J3" s="45" t="s">
        <v>46</v>
      </c>
    </row>
    <row r="4" spans="1:10" x14ac:dyDescent="0.6">
      <c r="A4" s="30" t="s">
        <v>212</v>
      </c>
      <c r="B4" s="85">
        <v>0.6</v>
      </c>
      <c r="C4" s="85">
        <v>0.65</v>
      </c>
      <c r="D4" s="85">
        <v>0.7</v>
      </c>
      <c r="E4" s="85">
        <v>0.75</v>
      </c>
      <c r="F4" s="85">
        <v>0.8</v>
      </c>
      <c r="G4" s="85">
        <v>0.85</v>
      </c>
      <c r="H4" s="85">
        <v>0.9</v>
      </c>
      <c r="I4" s="85">
        <v>0.95</v>
      </c>
      <c r="J4" s="85">
        <v>1</v>
      </c>
    </row>
    <row r="5" spans="1:10" x14ac:dyDescent="0.6">
      <c r="A5" s="30" t="s">
        <v>231</v>
      </c>
      <c r="B5" s="86">
        <f t="shared" ref="B5:J5" si="0">$B$11*B4</f>
        <v>135000</v>
      </c>
      <c r="C5" s="86">
        <f t="shared" si="0"/>
        <v>146250</v>
      </c>
      <c r="D5" s="86">
        <f t="shared" si="0"/>
        <v>157500</v>
      </c>
      <c r="E5" s="86">
        <f t="shared" si="0"/>
        <v>168750</v>
      </c>
      <c r="F5" s="86">
        <f t="shared" si="0"/>
        <v>180000</v>
      </c>
      <c r="G5" s="86">
        <f t="shared" si="0"/>
        <v>191250</v>
      </c>
      <c r="H5" s="86">
        <f t="shared" si="0"/>
        <v>202500</v>
      </c>
      <c r="I5" s="86">
        <f t="shared" si="0"/>
        <v>213750</v>
      </c>
      <c r="J5" s="86">
        <f t="shared" si="0"/>
        <v>225000</v>
      </c>
    </row>
    <row r="6" spans="1:10" x14ac:dyDescent="0.6">
      <c r="A6" s="30" t="s">
        <v>239</v>
      </c>
      <c r="B6" s="42">
        <f>B5*99%</f>
        <v>133650</v>
      </c>
      <c r="C6" s="42">
        <f>C5*99%</f>
        <v>144787.5</v>
      </c>
      <c r="D6" s="42">
        <f>D5*99%</f>
        <v>155925</v>
      </c>
      <c r="E6" s="42">
        <f>E5*99%</f>
        <v>167062.5</v>
      </c>
      <c r="F6" s="42">
        <f>F5*99%</f>
        <v>178200</v>
      </c>
      <c r="G6" s="42">
        <f>G5*101%</f>
        <v>193162.5</v>
      </c>
      <c r="H6" s="42">
        <f>H5*101%</f>
        <v>204525</v>
      </c>
      <c r="I6" s="42">
        <f>I5*101%</f>
        <v>215887.5</v>
      </c>
      <c r="J6" s="42">
        <f>MIN(J5*101%,J29+J28)</f>
        <v>226800</v>
      </c>
    </row>
    <row r="7" spans="1:10" x14ac:dyDescent="0.6">
      <c r="A7" s="30" t="s">
        <v>240</v>
      </c>
      <c r="B7" s="42">
        <f>B6*$C$23</f>
        <v>14701500</v>
      </c>
      <c r="C7" s="42">
        <f t="shared" ref="C7:J7" si="1">C6*$C$23*1.01</f>
        <v>16085891.25</v>
      </c>
      <c r="D7" s="42">
        <f t="shared" si="1"/>
        <v>17323267.5</v>
      </c>
      <c r="E7" s="42">
        <f t="shared" si="1"/>
        <v>18560643.75</v>
      </c>
      <c r="F7" s="42">
        <f t="shared" si="1"/>
        <v>19798020</v>
      </c>
      <c r="G7" s="42">
        <f t="shared" si="1"/>
        <v>21460353.75</v>
      </c>
      <c r="H7" s="42">
        <f t="shared" si="1"/>
        <v>22722727.5</v>
      </c>
      <c r="I7" s="42">
        <f t="shared" si="1"/>
        <v>23985101.25</v>
      </c>
      <c r="J7" s="42">
        <f t="shared" si="1"/>
        <v>25197480</v>
      </c>
    </row>
    <row r="8" spans="1:10" x14ac:dyDescent="0.6">
      <c r="B8" s="26"/>
      <c r="C8" s="26"/>
      <c r="D8" s="26"/>
      <c r="E8" s="26"/>
      <c r="F8" s="26"/>
      <c r="G8" s="26"/>
      <c r="H8" s="26"/>
      <c r="I8" s="26"/>
      <c r="J8" s="26"/>
    </row>
    <row r="9" spans="1:10" x14ac:dyDescent="0.6">
      <c r="A9" s="1" t="s">
        <v>223</v>
      </c>
    </row>
    <row r="11" spans="1:10" x14ac:dyDescent="0.6">
      <c r="A11" s="2" t="s">
        <v>211</v>
      </c>
      <c r="B11" s="87">
        <f>15*1000*B14*'Ann 3'!C4</f>
        <v>225000</v>
      </c>
      <c r="C11" s="120" t="s">
        <v>261</v>
      </c>
      <c r="E11" s="88"/>
      <c r="G11" s="41"/>
    </row>
    <row r="12" spans="1:10" x14ac:dyDescent="0.6">
      <c r="A12" s="2" t="s">
        <v>221</v>
      </c>
      <c r="B12" s="89">
        <v>90</v>
      </c>
      <c r="C12" s="119"/>
    </row>
    <row r="13" spans="1:10" x14ac:dyDescent="0.6">
      <c r="A13" s="2" t="s">
        <v>262</v>
      </c>
      <c r="B13" s="89">
        <v>12</v>
      </c>
      <c r="C13" s="119"/>
    </row>
    <row r="14" spans="1:10" x14ac:dyDescent="0.6">
      <c r="A14" s="2" t="s">
        <v>263</v>
      </c>
      <c r="B14" s="89">
        <f>B12/B13</f>
        <v>7.5</v>
      </c>
      <c r="C14" s="119"/>
    </row>
    <row r="15" spans="1:10" x14ac:dyDescent="0.6">
      <c r="A15" s="2" t="s">
        <v>264</v>
      </c>
      <c r="B15" s="89">
        <f>'Ann 3'!C4</f>
        <v>2</v>
      </c>
      <c r="C15" s="119"/>
    </row>
    <row r="16" spans="1:10" x14ac:dyDescent="0.6">
      <c r="A16" s="2" t="s">
        <v>265</v>
      </c>
      <c r="B16" s="89">
        <f>B15*B14</f>
        <v>15</v>
      </c>
      <c r="C16" s="119"/>
    </row>
    <row r="17" spans="1:10" x14ac:dyDescent="0.6">
      <c r="A17" s="2" t="s">
        <v>288</v>
      </c>
      <c r="B17" s="89"/>
      <c r="C17" s="119"/>
    </row>
    <row r="18" spans="1:10" x14ac:dyDescent="0.6">
      <c r="B18" s="89"/>
      <c r="C18" s="119"/>
    </row>
    <row r="19" spans="1:10" x14ac:dyDescent="0.6">
      <c r="A19" s="2" t="s">
        <v>266</v>
      </c>
      <c r="B19" s="89">
        <v>1500</v>
      </c>
      <c r="C19" s="119"/>
    </row>
    <row r="20" spans="1:10" x14ac:dyDescent="0.6">
      <c r="A20" s="2" t="s">
        <v>277</v>
      </c>
      <c r="B20" s="89">
        <f>300-B12</f>
        <v>210</v>
      </c>
      <c r="C20" s="119"/>
    </row>
    <row r="21" spans="1:10" x14ac:dyDescent="0.6">
      <c r="B21" s="89"/>
      <c r="C21" s="119"/>
    </row>
    <row r="22" spans="1:10" s="93" customFormat="1" ht="58" customHeight="1" x14ac:dyDescent="0.35">
      <c r="A22" s="90" t="s">
        <v>157</v>
      </c>
      <c r="B22" s="91" t="s">
        <v>158</v>
      </c>
      <c r="C22" s="92" t="s">
        <v>241</v>
      </c>
      <c r="D22" s="91" t="s">
        <v>242</v>
      </c>
    </row>
    <row r="23" spans="1:10" s="93" customFormat="1" x14ac:dyDescent="0.35">
      <c r="A23" s="90" t="s">
        <v>159</v>
      </c>
      <c r="B23" s="94">
        <f>B11</f>
        <v>225000</v>
      </c>
      <c r="C23" s="95">
        <v>110</v>
      </c>
      <c r="D23" s="96">
        <v>80</v>
      </c>
    </row>
    <row r="24" spans="1:10" s="93" customFormat="1" x14ac:dyDescent="0.35">
      <c r="A24" s="97"/>
      <c r="B24" s="98"/>
      <c r="C24" s="99"/>
      <c r="D24" s="99"/>
    </row>
    <row r="25" spans="1:10" x14ac:dyDescent="0.6">
      <c r="A25" s="1" t="s">
        <v>222</v>
      </c>
    </row>
    <row r="26" spans="1:10" x14ac:dyDescent="0.6">
      <c r="A26" s="133" t="s">
        <v>3</v>
      </c>
      <c r="B26" s="134" t="s">
        <v>47</v>
      </c>
      <c r="C26" s="134"/>
      <c r="D26" s="134"/>
      <c r="E26" s="134"/>
      <c r="F26" s="134"/>
      <c r="G26" s="134"/>
      <c r="H26" s="134"/>
      <c r="I26" s="134"/>
      <c r="J26" s="134"/>
    </row>
    <row r="27" spans="1:10" x14ac:dyDescent="0.6">
      <c r="A27" s="133"/>
      <c r="B27" s="45" t="s">
        <v>38</v>
      </c>
      <c r="C27" s="45" t="s">
        <v>39</v>
      </c>
      <c r="D27" s="45" t="s">
        <v>40</v>
      </c>
      <c r="E27" s="45" t="s">
        <v>41</v>
      </c>
      <c r="F27" s="45" t="s">
        <v>42</v>
      </c>
      <c r="G27" s="45" t="s">
        <v>43</v>
      </c>
      <c r="H27" s="45" t="s">
        <v>44</v>
      </c>
      <c r="I27" s="45" t="s">
        <v>45</v>
      </c>
      <c r="J27" s="45" t="s">
        <v>46</v>
      </c>
    </row>
    <row r="28" spans="1:10" x14ac:dyDescent="0.6">
      <c r="A28" s="30" t="s">
        <v>224</v>
      </c>
      <c r="B28" s="79">
        <v>0</v>
      </c>
      <c r="C28" s="68">
        <f>B31</f>
        <v>1350</v>
      </c>
      <c r="D28" s="68">
        <f t="shared" ref="D28:J28" si="2">C31</f>
        <v>2812.5</v>
      </c>
      <c r="E28" s="68">
        <f t="shared" si="2"/>
        <v>4387.5</v>
      </c>
      <c r="F28" s="68">
        <f t="shared" si="2"/>
        <v>6075</v>
      </c>
      <c r="G28" s="68">
        <f t="shared" si="2"/>
        <v>7875</v>
      </c>
      <c r="H28" s="68">
        <f t="shared" si="2"/>
        <v>5962.5</v>
      </c>
      <c r="I28" s="68">
        <f t="shared" si="2"/>
        <v>3937.5</v>
      </c>
      <c r="J28" s="68">
        <f t="shared" si="2"/>
        <v>1800</v>
      </c>
    </row>
    <row r="29" spans="1:10" x14ac:dyDescent="0.6">
      <c r="A29" s="30" t="s">
        <v>225</v>
      </c>
      <c r="B29" s="68">
        <f t="shared" ref="B29:J29" si="3">B5</f>
        <v>135000</v>
      </c>
      <c r="C29" s="68">
        <f t="shared" si="3"/>
        <v>146250</v>
      </c>
      <c r="D29" s="68">
        <f t="shared" si="3"/>
        <v>157500</v>
      </c>
      <c r="E29" s="68">
        <f t="shared" si="3"/>
        <v>168750</v>
      </c>
      <c r="F29" s="68">
        <f t="shared" si="3"/>
        <v>180000</v>
      </c>
      <c r="G29" s="68">
        <f t="shared" si="3"/>
        <v>191250</v>
      </c>
      <c r="H29" s="68">
        <f t="shared" si="3"/>
        <v>202500</v>
      </c>
      <c r="I29" s="68">
        <f t="shared" si="3"/>
        <v>213750</v>
      </c>
      <c r="J29" s="68">
        <f t="shared" si="3"/>
        <v>225000</v>
      </c>
    </row>
    <row r="30" spans="1:10" x14ac:dyDescent="0.6">
      <c r="A30" s="30" t="s">
        <v>49</v>
      </c>
      <c r="B30" s="68">
        <f t="shared" ref="B30:J30" si="4">B6</f>
        <v>133650</v>
      </c>
      <c r="C30" s="68">
        <f t="shared" si="4"/>
        <v>144787.5</v>
      </c>
      <c r="D30" s="68">
        <f t="shared" si="4"/>
        <v>155925</v>
      </c>
      <c r="E30" s="68">
        <f t="shared" si="4"/>
        <v>167062.5</v>
      </c>
      <c r="F30" s="68">
        <f t="shared" si="4"/>
        <v>178200</v>
      </c>
      <c r="G30" s="68">
        <f t="shared" si="4"/>
        <v>193162.5</v>
      </c>
      <c r="H30" s="68">
        <f t="shared" si="4"/>
        <v>204525</v>
      </c>
      <c r="I30" s="68">
        <f t="shared" si="4"/>
        <v>215887.5</v>
      </c>
      <c r="J30" s="68">
        <f t="shared" si="4"/>
        <v>226800</v>
      </c>
    </row>
    <row r="31" spans="1:10" x14ac:dyDescent="0.6">
      <c r="A31" s="30" t="s">
        <v>226</v>
      </c>
      <c r="B31" s="68">
        <f>B28+B29-B30</f>
        <v>1350</v>
      </c>
      <c r="C31" s="68">
        <f t="shared" ref="C31:J31" si="5">C28+C29-C30</f>
        <v>2812.5</v>
      </c>
      <c r="D31" s="68">
        <f t="shared" si="5"/>
        <v>4387.5</v>
      </c>
      <c r="E31" s="68">
        <f t="shared" si="5"/>
        <v>6075</v>
      </c>
      <c r="F31" s="68">
        <f t="shared" si="5"/>
        <v>7875</v>
      </c>
      <c r="G31" s="68">
        <f t="shared" si="5"/>
        <v>5962.5</v>
      </c>
      <c r="H31" s="68">
        <f t="shared" si="5"/>
        <v>3937.5</v>
      </c>
      <c r="I31" s="68">
        <f t="shared" si="5"/>
        <v>1800</v>
      </c>
      <c r="J31" s="68">
        <f t="shared" si="5"/>
        <v>0</v>
      </c>
    </row>
  </sheetData>
  <mergeCells count="4">
    <mergeCell ref="B2:J2"/>
    <mergeCell ref="B26:J26"/>
    <mergeCell ref="A26:A27"/>
    <mergeCell ref="A2:A3"/>
  </mergeCells>
  <pageMargins left="0.7" right="0.7" top="0.75" bottom="0.75" header="0.3" footer="0.3"/>
  <pageSetup scale="6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B69F-8F0D-45BD-B703-60FCEF10A70F}">
  <dimension ref="A2:J8"/>
  <sheetViews>
    <sheetView workbookViewId="0">
      <selection activeCell="B3" sqref="B3:F8"/>
    </sheetView>
  </sheetViews>
  <sheetFormatPr defaultRowHeight="17" x14ac:dyDescent="0.6"/>
  <cols>
    <col min="1" max="1" width="16.453125" style="2" bestFit="1" customWidth="1"/>
    <col min="2" max="16384" width="8.7265625" style="2"/>
  </cols>
  <sheetData>
    <row r="2" spans="1:10" x14ac:dyDescent="0.6">
      <c r="B2" s="2" t="s">
        <v>38</v>
      </c>
      <c r="C2" s="2" t="s">
        <v>39</v>
      </c>
      <c r="D2" s="2" t="s">
        <v>40</v>
      </c>
      <c r="E2" s="2" t="s">
        <v>41</v>
      </c>
      <c r="F2" s="2" t="s">
        <v>42</v>
      </c>
      <c r="G2" s="2" t="s">
        <v>43</v>
      </c>
      <c r="H2" s="2" t="s">
        <v>44</v>
      </c>
      <c r="I2" s="2" t="s">
        <v>45</v>
      </c>
      <c r="J2" s="2" t="s">
        <v>46</v>
      </c>
    </row>
    <row r="3" spans="1:10" x14ac:dyDescent="0.6">
      <c r="A3" s="2" t="s">
        <v>179</v>
      </c>
      <c r="B3" s="26">
        <f>'Ann 4'!C22/100000</f>
        <v>147.01499999999999</v>
      </c>
      <c r="C3" s="26">
        <f>'Ann 4'!D22/100000</f>
        <v>160.8589125</v>
      </c>
      <c r="D3" s="26">
        <f>'Ann 4'!E22/100000</f>
        <v>173.232675</v>
      </c>
      <c r="E3" s="26">
        <f>'Ann 4'!F22/100000</f>
        <v>185.6064375</v>
      </c>
      <c r="F3" s="26">
        <f>'Ann 4'!G22/100000</f>
        <v>197.9802</v>
      </c>
      <c r="G3" s="26">
        <f>'Ann 4'!H22/100000</f>
        <v>214.60353749999999</v>
      </c>
      <c r="H3" s="26">
        <f>'Ann 4'!I22/100000</f>
        <v>227.22727499999999</v>
      </c>
      <c r="I3" s="26">
        <f>'Ann 4'!J22/100000</f>
        <v>239.8510125</v>
      </c>
      <c r="J3" s="26">
        <f>'Ann 4'!K22/100000</f>
        <v>251.97479999999999</v>
      </c>
    </row>
    <row r="4" spans="1:10" x14ac:dyDescent="0.6">
      <c r="A4" s="2" t="s">
        <v>180</v>
      </c>
      <c r="B4" s="26">
        <f>'Ann 4'!C21/100000</f>
        <v>128.74825000000001</v>
      </c>
      <c r="C4" s="26">
        <f>'Ann 4'!D21/100000</f>
        <v>138.85172062500001</v>
      </c>
      <c r="D4" s="26">
        <f>'Ann 4'!E21/100000</f>
        <v>148.906632</v>
      </c>
      <c r="E4" s="26">
        <f>'Ann 4'!F21/100000</f>
        <v>158.9881263675</v>
      </c>
      <c r="F4" s="26">
        <f>'Ann 4'!G21/100000</f>
        <v>169.09794930562501</v>
      </c>
      <c r="G4" s="26">
        <f>'Ann 4'!H21/100000</f>
        <v>183.65794357665527</v>
      </c>
      <c r="H4" s="26">
        <f>'Ann 4'!I21/100000</f>
        <v>194.09014099965398</v>
      </c>
      <c r="I4" s="26">
        <f>'Ann 4'!J21/100000</f>
        <v>204.55664738349148</v>
      </c>
      <c r="J4" s="26">
        <f>'Ann 4'!K21/100000</f>
        <v>214.53973555908567</v>
      </c>
    </row>
    <row r="5" spans="1:10" x14ac:dyDescent="0.6">
      <c r="A5" s="2" t="s">
        <v>181</v>
      </c>
      <c r="B5" s="26">
        <f>B3-B4</f>
        <v>18.266749999999973</v>
      </c>
      <c r="C5" s="26">
        <f t="shared" ref="C5:J5" si="0">C3-C4</f>
        <v>22.00719187499999</v>
      </c>
      <c r="D5" s="26">
        <f t="shared" si="0"/>
        <v>24.326042999999999</v>
      </c>
      <c r="E5" s="26">
        <f t="shared" si="0"/>
        <v>26.618311132499997</v>
      </c>
      <c r="F5" s="26">
        <f t="shared" si="0"/>
        <v>28.882250694374989</v>
      </c>
      <c r="G5" s="26">
        <f t="shared" si="0"/>
        <v>30.945593923344717</v>
      </c>
      <c r="H5" s="26">
        <f t="shared" si="0"/>
        <v>33.137134000346009</v>
      </c>
      <c r="I5" s="26">
        <f t="shared" si="0"/>
        <v>35.294365116508516</v>
      </c>
      <c r="J5" s="26">
        <f t="shared" si="0"/>
        <v>37.435064440914317</v>
      </c>
    </row>
    <row r="6" spans="1:10" x14ac:dyDescent="0.6">
      <c r="A6" s="2" t="s">
        <v>182</v>
      </c>
      <c r="B6" s="26">
        <f>B5</f>
        <v>18.266749999999973</v>
      </c>
      <c r="C6" s="26">
        <f t="shared" ref="C6:J6" si="1">C5</f>
        <v>22.00719187499999</v>
      </c>
      <c r="D6" s="26">
        <f t="shared" si="1"/>
        <v>24.326042999999999</v>
      </c>
      <c r="E6" s="26">
        <f t="shared" si="1"/>
        <v>26.618311132499997</v>
      </c>
      <c r="F6" s="26">
        <f t="shared" si="1"/>
        <v>28.882250694374989</v>
      </c>
      <c r="G6" s="26">
        <f t="shared" si="1"/>
        <v>30.945593923344717</v>
      </c>
      <c r="H6" s="26">
        <f t="shared" si="1"/>
        <v>33.137134000346009</v>
      </c>
      <c r="I6" s="26">
        <f t="shared" si="1"/>
        <v>35.294365116508516</v>
      </c>
      <c r="J6" s="26">
        <f t="shared" si="1"/>
        <v>37.435064440914317</v>
      </c>
    </row>
    <row r="7" spans="1:10" x14ac:dyDescent="0.6">
      <c r="A7" s="2" t="s">
        <v>183</v>
      </c>
      <c r="B7" s="104">
        <f>'Ann 4'!C34/100000</f>
        <v>8.6015365384615396</v>
      </c>
      <c r="C7" s="104">
        <f>'Ann 4'!D34/100000</f>
        <v>14.318403413461541</v>
      </c>
      <c r="D7" s="104">
        <f>'Ann 4'!E34/100000</f>
        <v>18.402249153846164</v>
      </c>
      <c r="E7" s="104">
        <f>'Ann 4'!F34/100000</f>
        <v>22.282934601730755</v>
      </c>
      <c r="F7" s="104">
        <f>'Ann 4'!G34/100000</f>
        <v>25.985419257990387</v>
      </c>
      <c r="G7" s="104">
        <f>'Ann 4'!H34/100000</f>
        <v>29.360139047174723</v>
      </c>
      <c r="H7" s="104">
        <f>'Ann 4'!I34/100000</f>
        <v>32.755189741099748</v>
      </c>
      <c r="I7" s="104">
        <f>'Ann 4'!J34/100000</f>
        <v>35.831358048588143</v>
      </c>
      <c r="J7" s="104">
        <f>'Ann 4'!K34/100000</f>
        <v>38.491629608208171</v>
      </c>
    </row>
    <row r="8" spans="1:10" x14ac:dyDescent="0.6">
      <c r="A8" s="2" t="s">
        <v>184</v>
      </c>
      <c r="B8" s="104">
        <f>'Ann 4'!C36/100000</f>
        <v>5.9910755769230777</v>
      </c>
      <c r="C8" s="104">
        <f>'Ann 4'!D36/100000</f>
        <v>10.02288238942308</v>
      </c>
      <c r="D8" s="104">
        <f>'Ann 4'!E36/100000</f>
        <v>12.881574407692314</v>
      </c>
      <c r="E8" s="104">
        <f>'Ann 4'!F36/100000</f>
        <v>15.598054221211527</v>
      </c>
      <c r="F8" s="104">
        <f>'Ann 4'!G36/100000</f>
        <v>18.18979348059327</v>
      </c>
      <c r="G8" s="104">
        <f>'Ann 4'!H36/100000</f>
        <v>20.552097333022306</v>
      </c>
      <c r="H8" s="104">
        <f>'Ann 4'!I36/100000</f>
        <v>22.92863281876982</v>
      </c>
      <c r="I8" s="104">
        <f>'Ann 4'!J36/100000</f>
        <v>25.081950634011701</v>
      </c>
      <c r="J8" s="104">
        <f>'Ann 4'!K36/100000</f>
        <v>26.944140725745722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5DA7-00E0-4D15-8196-E2CB4C255341}">
  <sheetPr>
    <pageSetUpPr fitToPage="1"/>
  </sheetPr>
  <dimension ref="A1:B3"/>
  <sheetViews>
    <sheetView workbookViewId="0">
      <selection activeCell="B2" sqref="B2"/>
    </sheetView>
  </sheetViews>
  <sheetFormatPr defaultRowHeight="17" x14ac:dyDescent="0.6"/>
  <cols>
    <col min="1" max="1" width="8.7265625" style="2"/>
    <col min="2" max="2" width="84" style="2" bestFit="1" customWidth="1"/>
    <col min="3" max="3" width="12.36328125" style="2" bestFit="1" customWidth="1"/>
    <col min="4" max="12" width="12.54296875" style="2" bestFit="1" customWidth="1"/>
    <col min="13" max="16384" width="8.7265625" style="2"/>
  </cols>
  <sheetData>
    <row r="1" spans="1:2" x14ac:dyDescent="0.6">
      <c r="A1" s="1" t="s">
        <v>204</v>
      </c>
      <c r="B1" s="1" t="s">
        <v>205</v>
      </c>
    </row>
    <row r="2" spans="1:2" ht="34" x14ac:dyDescent="0.6">
      <c r="A2" s="93">
        <v>1</v>
      </c>
      <c r="B2" s="127" t="s">
        <v>289</v>
      </c>
    </row>
    <row r="3" spans="1:2" x14ac:dyDescent="0.6">
      <c r="A3" s="2">
        <v>2</v>
      </c>
      <c r="B3" s="2" t="s">
        <v>287</v>
      </c>
    </row>
  </sheetData>
  <pageMargins left="0.7" right="0.7" top="0.75" bottom="0.75" header="0.3" footer="0.3"/>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8DE0-72C3-4C7B-BCE1-80ED309267B8}">
  <dimension ref="A1:K7"/>
  <sheetViews>
    <sheetView workbookViewId="0">
      <selection activeCell="C5" sqref="C5"/>
    </sheetView>
  </sheetViews>
  <sheetFormatPr defaultRowHeight="14.5" x14ac:dyDescent="0.35"/>
  <cols>
    <col min="3" max="3" width="8.81640625" bestFit="1" customWidth="1"/>
    <col min="4" max="5" width="11.81640625" bestFit="1" customWidth="1"/>
    <col min="6" max="6" width="9.81640625" bestFit="1" customWidth="1"/>
    <col min="7" max="11" width="11.81640625" bestFit="1" customWidth="1"/>
  </cols>
  <sheetData>
    <row r="1" spans="1:11" x14ac:dyDescent="0.35">
      <c r="A1" t="s">
        <v>131</v>
      </c>
    </row>
    <row r="2" spans="1:11" x14ac:dyDescent="0.35">
      <c r="C2" t="s">
        <v>38</v>
      </c>
      <c r="D2" t="s">
        <v>39</v>
      </c>
      <c r="E2" t="s">
        <v>40</v>
      </c>
      <c r="F2" t="s">
        <v>41</v>
      </c>
      <c r="G2" t="s">
        <v>42</v>
      </c>
      <c r="H2" t="s">
        <v>43</v>
      </c>
      <c r="I2" t="s">
        <v>44</v>
      </c>
      <c r="J2" t="s">
        <v>45</v>
      </c>
      <c r="K2" t="s">
        <v>46</v>
      </c>
    </row>
    <row r="3" spans="1:11" x14ac:dyDescent="0.35">
      <c r="A3" t="s">
        <v>132</v>
      </c>
      <c r="C3">
        <f>'Ann 4'!C22/300*270</f>
        <v>13231350</v>
      </c>
      <c r="D3">
        <f>'Ann 4'!D22/300*270</f>
        <v>14477302.125</v>
      </c>
      <c r="E3">
        <f>'Ann 4'!E22/300*270</f>
        <v>15590940.75</v>
      </c>
      <c r="F3">
        <f>'Ann 4'!F22/300*270</f>
        <v>16704579.375</v>
      </c>
      <c r="G3">
        <f>'Ann 4'!G22/300*270</f>
        <v>17818218</v>
      </c>
      <c r="H3">
        <f>'Ann 4'!H22/300*270</f>
        <v>19314318.375</v>
      </c>
      <c r="I3">
        <f>'Ann 4'!I22/300*270</f>
        <v>20450454.75</v>
      </c>
      <c r="J3">
        <f>'Ann 4'!J22/300*270</f>
        <v>21586591.125</v>
      </c>
      <c r="K3">
        <f>'Ann 4'!K22/300*270</f>
        <v>22677732</v>
      </c>
    </row>
    <row r="4" spans="1:11" x14ac:dyDescent="0.35">
      <c r="A4" t="s">
        <v>133</v>
      </c>
      <c r="C4">
        <v>5000000</v>
      </c>
    </row>
    <row r="5" spans="1:11" x14ac:dyDescent="0.35">
      <c r="A5" t="s">
        <v>134</v>
      </c>
      <c r="C5">
        <v>21492978</v>
      </c>
    </row>
    <row r="7" spans="1:11" x14ac:dyDescent="0.35">
      <c r="A7" t="s">
        <v>135</v>
      </c>
      <c r="C7">
        <f>'Ann 3'!E8</f>
        <v>6200000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A738-A431-4FFB-9E48-2908CC4F126C}">
  <dimension ref="A1:C40"/>
  <sheetViews>
    <sheetView topLeftCell="A15" workbookViewId="0">
      <selection activeCell="C19" sqref="C19"/>
    </sheetView>
  </sheetViews>
  <sheetFormatPr defaultRowHeight="17" x14ac:dyDescent="0.6"/>
  <cols>
    <col min="1" max="1" width="8.7265625" style="2"/>
    <col min="2" max="2" width="44.90625" style="2" customWidth="1"/>
    <col min="3" max="3" width="13.26953125" style="2" customWidth="1"/>
    <col min="4" max="16384" width="8.7265625" style="2"/>
  </cols>
  <sheetData>
    <row r="1" spans="1:3" x14ac:dyDescent="0.6">
      <c r="A1" s="1" t="s">
        <v>206</v>
      </c>
    </row>
    <row r="3" spans="1:3" x14ac:dyDescent="0.6">
      <c r="A3" s="1" t="s">
        <v>0</v>
      </c>
    </row>
    <row r="5" spans="1:3" x14ac:dyDescent="0.6">
      <c r="A5" s="3" t="s">
        <v>1</v>
      </c>
      <c r="B5" s="4"/>
      <c r="C5" s="5"/>
    </row>
    <row r="6" spans="1:3" ht="34" x14ac:dyDescent="0.6">
      <c r="A6" s="6" t="s">
        <v>2</v>
      </c>
      <c r="B6" s="6" t="s">
        <v>3</v>
      </c>
      <c r="C6" s="7" t="s">
        <v>4</v>
      </c>
    </row>
    <row r="7" spans="1:3" x14ac:dyDescent="0.6">
      <c r="A7" s="8">
        <v>1</v>
      </c>
      <c r="B7" s="9" t="s">
        <v>6</v>
      </c>
      <c r="C7" s="10"/>
    </row>
    <row r="8" spans="1:3" x14ac:dyDescent="0.6">
      <c r="A8" s="8" t="s">
        <v>5</v>
      </c>
      <c r="B8" s="9" t="s">
        <v>7</v>
      </c>
      <c r="C8" s="11">
        <v>0</v>
      </c>
    </row>
    <row r="9" spans="1:3" x14ac:dyDescent="0.6">
      <c r="A9" s="8"/>
      <c r="B9" s="12" t="s">
        <v>8</v>
      </c>
      <c r="C9" s="13">
        <f>SUM(C8)</f>
        <v>0</v>
      </c>
    </row>
    <row r="10" spans="1:3" x14ac:dyDescent="0.6">
      <c r="A10" s="8"/>
      <c r="B10" s="9"/>
      <c r="C10" s="10"/>
    </row>
    <row r="11" spans="1:3" x14ac:dyDescent="0.6">
      <c r="A11" s="8">
        <v>2</v>
      </c>
      <c r="B11" s="9" t="s">
        <v>155</v>
      </c>
      <c r="C11" s="11">
        <v>0</v>
      </c>
    </row>
    <row r="12" spans="1:3" x14ac:dyDescent="0.6">
      <c r="A12" s="8" t="s">
        <v>5</v>
      </c>
      <c r="B12" s="12" t="s">
        <v>8</v>
      </c>
      <c r="C12" s="13">
        <f>C11</f>
        <v>0</v>
      </c>
    </row>
    <row r="13" spans="1:3" x14ac:dyDescent="0.6">
      <c r="A13" s="8"/>
      <c r="B13" s="9"/>
      <c r="C13" s="10"/>
    </row>
    <row r="14" spans="1:3" x14ac:dyDescent="0.6">
      <c r="A14" s="8">
        <v>3</v>
      </c>
      <c r="B14" s="9" t="s">
        <v>9</v>
      </c>
      <c r="C14" s="10"/>
    </row>
    <row r="15" spans="1:3" x14ac:dyDescent="0.6">
      <c r="A15" s="8" t="s">
        <v>5</v>
      </c>
      <c r="B15" s="9" t="s">
        <v>9</v>
      </c>
      <c r="C15" s="11">
        <v>0</v>
      </c>
    </row>
    <row r="16" spans="1:3" x14ac:dyDescent="0.6">
      <c r="A16" s="8"/>
      <c r="B16" s="12" t="s">
        <v>8</v>
      </c>
      <c r="C16" s="14">
        <f>C15</f>
        <v>0</v>
      </c>
    </row>
    <row r="17" spans="1:3" x14ac:dyDescent="0.6">
      <c r="A17" s="8"/>
      <c r="B17" s="9"/>
      <c r="C17" s="10"/>
    </row>
    <row r="18" spans="1:3" x14ac:dyDescent="0.6">
      <c r="A18" s="8">
        <v>4</v>
      </c>
      <c r="B18" s="9" t="s">
        <v>10</v>
      </c>
      <c r="C18" s="10"/>
    </row>
    <row r="19" spans="1:3" x14ac:dyDescent="0.6">
      <c r="A19" s="8" t="s">
        <v>5</v>
      </c>
      <c r="B19" s="9" t="s">
        <v>11</v>
      </c>
      <c r="C19" s="15">
        <f>'Ann 3'!E6/100000</f>
        <v>62</v>
      </c>
    </row>
    <row r="20" spans="1:3" x14ac:dyDescent="0.6">
      <c r="A20" s="8"/>
      <c r="B20" s="12" t="s">
        <v>8</v>
      </c>
      <c r="C20" s="16">
        <f>C19</f>
        <v>62</v>
      </c>
    </row>
    <row r="21" spans="1:3" x14ac:dyDescent="0.6">
      <c r="A21" s="8"/>
      <c r="B21" s="9"/>
      <c r="C21" s="10"/>
    </row>
    <row r="22" spans="1:3" x14ac:dyDescent="0.6">
      <c r="A22" s="8">
        <v>5</v>
      </c>
      <c r="B22" s="9" t="s">
        <v>12</v>
      </c>
      <c r="C22" s="10"/>
    </row>
    <row r="23" spans="1:3" x14ac:dyDescent="0.6">
      <c r="A23" s="8" t="s">
        <v>5</v>
      </c>
      <c r="B23" s="9" t="s">
        <v>13</v>
      </c>
      <c r="C23" s="11">
        <v>0</v>
      </c>
    </row>
    <row r="24" spans="1:3" x14ac:dyDescent="0.6">
      <c r="A24" s="8"/>
      <c r="B24" s="9"/>
      <c r="C24" s="11"/>
    </row>
    <row r="25" spans="1:3" x14ac:dyDescent="0.6">
      <c r="A25" s="8">
        <v>6</v>
      </c>
      <c r="B25" s="9" t="s">
        <v>14</v>
      </c>
      <c r="C25" s="11">
        <v>1</v>
      </c>
    </row>
    <row r="26" spans="1:3" x14ac:dyDescent="0.6">
      <c r="A26" s="8"/>
      <c r="B26" s="9"/>
      <c r="C26" s="11"/>
    </row>
    <row r="27" spans="1:3" x14ac:dyDescent="0.6">
      <c r="A27" s="8">
        <v>7</v>
      </c>
      <c r="B27" s="9" t="s">
        <v>15</v>
      </c>
      <c r="C27" s="11">
        <v>0</v>
      </c>
    </row>
    <row r="28" spans="1:3" x14ac:dyDescent="0.6">
      <c r="A28" s="8" t="s">
        <v>5</v>
      </c>
      <c r="B28" s="9" t="s">
        <v>16</v>
      </c>
      <c r="C28" s="11">
        <v>0</v>
      </c>
    </row>
    <row r="29" spans="1:3" x14ac:dyDescent="0.6">
      <c r="A29" s="8"/>
      <c r="B29" s="12" t="s">
        <v>8</v>
      </c>
      <c r="C29" s="13">
        <f>SUM(C27:C28)</f>
        <v>0</v>
      </c>
    </row>
    <row r="30" spans="1:3" x14ac:dyDescent="0.6">
      <c r="A30" s="8"/>
      <c r="B30" s="9"/>
      <c r="C30" s="11"/>
    </row>
    <row r="31" spans="1:3" x14ac:dyDescent="0.6">
      <c r="A31" s="8">
        <v>8</v>
      </c>
      <c r="B31" s="9" t="s">
        <v>17</v>
      </c>
      <c r="C31" s="10"/>
    </row>
    <row r="32" spans="1:3" ht="34" x14ac:dyDescent="0.6">
      <c r="A32" s="8"/>
      <c r="B32" s="17" t="s">
        <v>18</v>
      </c>
      <c r="C32" s="10"/>
    </row>
    <row r="33" spans="1:3" x14ac:dyDescent="0.6">
      <c r="A33" s="8" t="s">
        <v>5</v>
      </c>
      <c r="B33" s="9" t="s">
        <v>19</v>
      </c>
      <c r="C33" s="11"/>
    </row>
    <row r="34" spans="1:3" x14ac:dyDescent="0.6">
      <c r="A34" s="8" t="s">
        <v>20</v>
      </c>
      <c r="B34" s="9" t="s">
        <v>21</v>
      </c>
      <c r="C34" s="11">
        <v>0.1</v>
      </c>
    </row>
    <row r="35" spans="1:3" x14ac:dyDescent="0.6">
      <c r="A35" s="8"/>
      <c r="B35" s="12" t="s">
        <v>8</v>
      </c>
      <c r="C35" s="13">
        <f>C34</f>
        <v>0.1</v>
      </c>
    </row>
    <row r="36" spans="1:3" x14ac:dyDescent="0.6">
      <c r="A36" s="8"/>
      <c r="B36" s="9"/>
      <c r="C36" s="11"/>
    </row>
    <row r="37" spans="1:3" s="1" customFormat="1" x14ac:dyDescent="0.6">
      <c r="A37" s="18"/>
      <c r="B37" s="19" t="s">
        <v>22</v>
      </c>
      <c r="C37" s="20">
        <f>C35+C29+C25+C20+C16+C23+C12+C9</f>
        <v>63.1</v>
      </c>
    </row>
    <row r="38" spans="1:3" x14ac:dyDescent="0.6">
      <c r="A38" s="21"/>
    </row>
    <row r="39" spans="1:3" x14ac:dyDescent="0.6">
      <c r="A39" s="21"/>
    </row>
    <row r="40" spans="1:3" x14ac:dyDescent="0.6">
      <c r="A40" s="2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D81CD-D127-4212-A91B-7CC6FC2C782F}">
  <dimension ref="A1:D8"/>
  <sheetViews>
    <sheetView workbookViewId="0">
      <selection activeCell="C4" sqref="C4"/>
    </sheetView>
  </sheetViews>
  <sheetFormatPr defaultRowHeight="17" x14ac:dyDescent="0.6"/>
  <cols>
    <col min="1" max="1" width="6.36328125" style="2" bestFit="1" customWidth="1"/>
    <col min="2" max="2" width="22.08984375" style="2" customWidth="1"/>
    <col min="3" max="3" width="18.81640625" style="2" bestFit="1" customWidth="1"/>
    <col min="4" max="16384" width="8.7265625" style="2"/>
  </cols>
  <sheetData>
    <row r="1" spans="1:4" x14ac:dyDescent="0.6">
      <c r="A1" s="1" t="s">
        <v>23</v>
      </c>
    </row>
    <row r="3" spans="1:4" s="1" customFormat="1" x14ac:dyDescent="0.6">
      <c r="A3" s="114" t="s">
        <v>24</v>
      </c>
      <c r="B3" s="115" t="s">
        <v>25</v>
      </c>
      <c r="C3" s="116" t="s">
        <v>4</v>
      </c>
    </row>
    <row r="4" spans="1:4" x14ac:dyDescent="0.6">
      <c r="A4" s="22">
        <v>1</v>
      </c>
      <c r="B4" s="23" t="s">
        <v>26</v>
      </c>
      <c r="C4" s="118">
        <f>C8*10%</f>
        <v>6.3100000000000005</v>
      </c>
      <c r="D4" s="25"/>
    </row>
    <row r="5" spans="1:4" x14ac:dyDescent="0.6">
      <c r="A5" s="22">
        <v>2</v>
      </c>
      <c r="B5" s="23" t="s">
        <v>27</v>
      </c>
      <c r="C5" s="24">
        <v>0</v>
      </c>
      <c r="D5" s="26"/>
    </row>
    <row r="6" spans="1:4" x14ac:dyDescent="0.6">
      <c r="A6" s="22">
        <v>3</v>
      </c>
      <c r="B6" s="23" t="s">
        <v>28</v>
      </c>
      <c r="C6" s="15">
        <f>C8-C4-C7</f>
        <v>55.79</v>
      </c>
      <c r="D6" s="25"/>
    </row>
    <row r="7" spans="1:4" x14ac:dyDescent="0.6">
      <c r="A7" s="22">
        <v>4</v>
      </c>
      <c r="B7" s="23" t="s">
        <v>29</v>
      </c>
      <c r="C7" s="15">
        <f>'Ann 1'!C25</f>
        <v>1</v>
      </c>
      <c r="D7" s="126"/>
    </row>
    <row r="8" spans="1:4" s="1" customFormat="1" x14ac:dyDescent="0.6">
      <c r="A8" s="36"/>
      <c r="B8" s="37" t="s">
        <v>8</v>
      </c>
      <c r="C8" s="113">
        <f>'Ann 1'!C37</f>
        <v>63.1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2858-CA67-4C56-BFC5-E2781F80B181}">
  <sheetPr>
    <pageSetUpPr fitToPage="1"/>
  </sheetPr>
  <dimension ref="A1:F10"/>
  <sheetViews>
    <sheetView workbookViewId="0">
      <selection activeCell="B8" sqref="B8"/>
    </sheetView>
  </sheetViews>
  <sheetFormatPr defaultRowHeight="17" x14ac:dyDescent="0.6"/>
  <cols>
    <col min="1" max="1" width="2.81640625" style="2" bestFit="1" customWidth="1"/>
    <col min="2" max="2" width="53.81640625" style="2" customWidth="1"/>
    <col min="3" max="3" width="8.7265625" style="2"/>
    <col min="4" max="4" width="17.90625" style="2" bestFit="1" customWidth="1"/>
    <col min="5" max="5" width="12.1796875" style="2" bestFit="1" customWidth="1"/>
    <col min="6" max="6" width="8.7265625" style="2"/>
    <col min="7" max="7" width="9.1796875" style="2" bestFit="1" customWidth="1"/>
    <col min="8" max="16384" width="8.7265625" style="2"/>
  </cols>
  <sheetData>
    <row r="1" spans="1:6" x14ac:dyDescent="0.6">
      <c r="A1" s="1" t="s">
        <v>30</v>
      </c>
    </row>
    <row r="2" spans="1:6" x14ac:dyDescent="0.6">
      <c r="A2" s="27"/>
      <c r="B2" s="28"/>
      <c r="C2" s="28"/>
      <c r="D2" s="28"/>
      <c r="E2" s="34"/>
    </row>
    <row r="3" spans="1:6" x14ac:dyDescent="0.6">
      <c r="A3" s="29" t="s">
        <v>258</v>
      </c>
      <c r="B3" s="4"/>
      <c r="C3" s="4" t="s">
        <v>31</v>
      </c>
      <c r="D3" s="4" t="s">
        <v>254</v>
      </c>
      <c r="E3" s="5" t="s">
        <v>32</v>
      </c>
    </row>
    <row r="4" spans="1:6" x14ac:dyDescent="0.6">
      <c r="A4" s="33">
        <v>1</v>
      </c>
      <c r="B4" s="21" t="s">
        <v>256</v>
      </c>
      <c r="C4" s="122">
        <v>2</v>
      </c>
      <c r="D4" s="123">
        <v>3000000</v>
      </c>
      <c r="E4" s="124">
        <f t="shared" ref="E4" si="0">D4*C4</f>
        <v>6000000</v>
      </c>
    </row>
    <row r="5" spans="1:6" x14ac:dyDescent="0.6">
      <c r="A5" s="22">
        <v>2</v>
      </c>
      <c r="B5" s="21" t="s">
        <v>257</v>
      </c>
      <c r="C5" s="123"/>
      <c r="D5" s="123"/>
      <c r="E5" s="125">
        <v>200000</v>
      </c>
    </row>
    <row r="6" spans="1:6" s="1" customFormat="1" x14ac:dyDescent="0.6">
      <c r="A6" s="36" t="s">
        <v>33</v>
      </c>
      <c r="B6" s="37"/>
      <c r="C6" s="37"/>
      <c r="D6" s="37"/>
      <c r="E6" s="38">
        <f>SUM(E4:E5)</f>
        <v>6200000</v>
      </c>
      <c r="F6" s="39"/>
    </row>
    <row r="7" spans="1:6" x14ac:dyDescent="0.6">
      <c r="A7" s="22"/>
      <c r="B7" s="23"/>
      <c r="C7" s="23"/>
      <c r="D7" s="23"/>
      <c r="E7" s="10"/>
    </row>
    <row r="8" spans="1:6" s="1" customFormat="1" x14ac:dyDescent="0.6">
      <c r="A8" s="36" t="s">
        <v>34</v>
      </c>
      <c r="B8" s="37"/>
      <c r="C8" s="37"/>
      <c r="D8" s="37"/>
      <c r="E8" s="38">
        <f>E6</f>
        <v>6200000</v>
      </c>
    </row>
    <row r="9" spans="1:6" x14ac:dyDescent="0.6">
      <c r="E9" s="40"/>
    </row>
    <row r="10" spans="1:6" x14ac:dyDescent="0.6">
      <c r="A10" s="2" t="s">
        <v>253</v>
      </c>
      <c r="E10" s="41"/>
    </row>
  </sheetData>
  <pageMargins left="0.7" right="0.7" top="0.75" bottom="0.7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6FA6-76E6-4673-8AD3-A2A7C9EA52B0}">
  <sheetPr>
    <pageSetUpPr fitToPage="1"/>
  </sheetPr>
  <dimension ref="A1:K42"/>
  <sheetViews>
    <sheetView topLeftCell="A25" workbookViewId="0">
      <selection activeCell="D36" sqref="D36"/>
    </sheetView>
  </sheetViews>
  <sheetFormatPr defaultRowHeight="17" x14ac:dyDescent="0.6"/>
  <cols>
    <col min="1" max="1" width="8.7265625" style="2"/>
    <col min="2" max="2" width="55.7265625" style="2" bestFit="1" customWidth="1"/>
    <col min="3" max="3" width="19.08984375" style="2" bestFit="1" customWidth="1"/>
    <col min="4" max="11" width="15.6328125" style="2" bestFit="1" customWidth="1"/>
    <col min="12" max="16384" width="8.7265625" style="2"/>
  </cols>
  <sheetData>
    <row r="1" spans="1:11" x14ac:dyDescent="0.6">
      <c r="A1" s="1" t="s">
        <v>35</v>
      </c>
    </row>
    <row r="3" spans="1:11" s="1" customFormat="1" x14ac:dyDescent="0.6">
      <c r="A3" s="131" t="s">
        <v>36</v>
      </c>
      <c r="B3" s="129" t="s">
        <v>37</v>
      </c>
      <c r="C3" s="128" t="s">
        <v>47</v>
      </c>
      <c r="D3" s="128"/>
      <c r="E3" s="128"/>
      <c r="F3" s="128"/>
      <c r="G3" s="128"/>
      <c r="H3" s="128"/>
      <c r="I3" s="128"/>
      <c r="J3" s="128"/>
      <c r="K3" s="128"/>
    </row>
    <row r="4" spans="1:11" s="1" customFormat="1" x14ac:dyDescent="0.6">
      <c r="A4" s="132"/>
      <c r="B4" s="130"/>
      <c r="C4" s="121" t="s">
        <v>38</v>
      </c>
      <c r="D4" s="121" t="s">
        <v>39</v>
      </c>
      <c r="E4" s="121" t="s">
        <v>40</v>
      </c>
      <c r="F4" s="121" t="s">
        <v>41</v>
      </c>
      <c r="G4" s="121" t="s">
        <v>42</v>
      </c>
      <c r="H4" s="121" t="s">
        <v>43</v>
      </c>
      <c r="I4" s="121" t="s">
        <v>44</v>
      </c>
      <c r="J4" s="121" t="s">
        <v>45</v>
      </c>
      <c r="K4" s="121" t="s">
        <v>46</v>
      </c>
    </row>
    <row r="5" spans="1:11" x14ac:dyDescent="0.6">
      <c r="A5" s="30"/>
      <c r="B5" s="30" t="s">
        <v>48</v>
      </c>
      <c r="C5" s="30">
        <v>12</v>
      </c>
      <c r="D5" s="30">
        <v>12</v>
      </c>
      <c r="E5" s="30">
        <v>12</v>
      </c>
      <c r="F5" s="30">
        <v>12</v>
      </c>
      <c r="G5" s="30">
        <v>12</v>
      </c>
      <c r="H5" s="30">
        <v>12</v>
      </c>
      <c r="I5" s="30">
        <v>12</v>
      </c>
      <c r="J5" s="30">
        <v>12</v>
      </c>
      <c r="K5" s="30">
        <v>12</v>
      </c>
    </row>
    <row r="6" spans="1:11" x14ac:dyDescent="0.6">
      <c r="A6" s="30"/>
      <c r="B6" s="30"/>
      <c r="C6" s="30"/>
      <c r="D6" s="30"/>
      <c r="E6" s="30"/>
      <c r="F6" s="30"/>
      <c r="G6" s="30"/>
      <c r="H6" s="30"/>
      <c r="I6" s="30"/>
      <c r="J6" s="30"/>
      <c r="K6" s="30"/>
    </row>
    <row r="7" spans="1:11" x14ac:dyDescent="0.6">
      <c r="A7" s="30"/>
      <c r="B7" s="30" t="s">
        <v>260</v>
      </c>
      <c r="C7" s="42">
        <f>Budgets!B5*Budgets!$D$23</f>
        <v>10800000</v>
      </c>
      <c r="D7" s="42">
        <f>Budgets!C5*Budgets!$D$23</f>
        <v>11700000</v>
      </c>
      <c r="E7" s="42">
        <f>Budgets!D5*Budgets!$D$23</f>
        <v>12600000</v>
      </c>
      <c r="F7" s="42">
        <f>Budgets!E5*Budgets!$D$23</f>
        <v>13500000</v>
      </c>
      <c r="G7" s="42">
        <f>Budgets!F5*Budgets!$D$23</f>
        <v>14400000</v>
      </c>
      <c r="H7" s="42">
        <f>Budgets!G5*Budgets!$D$23</f>
        <v>15300000</v>
      </c>
      <c r="I7" s="42">
        <f>Budgets!H5*Budgets!$D$23</f>
        <v>16200000</v>
      </c>
      <c r="J7" s="42">
        <f>Budgets!I5*Budgets!$D$23</f>
        <v>17100000</v>
      </c>
      <c r="K7" s="42">
        <f>Budgets!J5*Budgets!$D$23</f>
        <v>18000000</v>
      </c>
    </row>
    <row r="8" spans="1:11" x14ac:dyDescent="0.6">
      <c r="A8" s="30"/>
      <c r="B8" s="30" t="s">
        <v>218</v>
      </c>
      <c r="C8" s="42">
        <f>2%*'Ann 3'!E8</f>
        <v>124000</v>
      </c>
      <c r="D8" s="42">
        <f>C8*1.05</f>
        <v>130200</v>
      </c>
      <c r="E8" s="42">
        <f t="shared" ref="E8:K8" si="0">D8*1.05</f>
        <v>136710</v>
      </c>
      <c r="F8" s="42">
        <f t="shared" si="0"/>
        <v>143545.5</v>
      </c>
      <c r="G8" s="42">
        <f t="shared" si="0"/>
        <v>150722.77499999999</v>
      </c>
      <c r="H8" s="42">
        <f t="shared" si="0"/>
        <v>158258.91375000001</v>
      </c>
      <c r="I8" s="42">
        <f t="shared" si="0"/>
        <v>166171.85943750001</v>
      </c>
      <c r="J8" s="42">
        <f t="shared" si="0"/>
        <v>174480.45240937502</v>
      </c>
      <c r="K8" s="42">
        <f t="shared" si="0"/>
        <v>183204.47502984377</v>
      </c>
    </row>
    <row r="9" spans="1:11" x14ac:dyDescent="0.6">
      <c r="A9" s="30"/>
      <c r="B9" s="30" t="s">
        <v>255</v>
      </c>
      <c r="C9" s="42">
        <f t="shared" ref="C9:K9" si="1">C7*1%</f>
        <v>108000</v>
      </c>
      <c r="D9" s="42">
        <f t="shared" si="1"/>
        <v>117000</v>
      </c>
      <c r="E9" s="42">
        <f t="shared" si="1"/>
        <v>126000</v>
      </c>
      <c r="F9" s="42">
        <f t="shared" si="1"/>
        <v>135000</v>
      </c>
      <c r="G9" s="42">
        <f t="shared" si="1"/>
        <v>144000</v>
      </c>
      <c r="H9" s="42">
        <f t="shared" si="1"/>
        <v>153000</v>
      </c>
      <c r="I9" s="42">
        <f t="shared" si="1"/>
        <v>162000</v>
      </c>
      <c r="J9" s="42">
        <f t="shared" si="1"/>
        <v>171000</v>
      </c>
      <c r="K9" s="42">
        <f t="shared" si="1"/>
        <v>180000</v>
      </c>
    </row>
    <row r="10" spans="1:11" x14ac:dyDescent="0.6">
      <c r="A10" s="30"/>
      <c r="B10" s="30" t="s">
        <v>285</v>
      </c>
      <c r="C10" s="42">
        <f>25000*2*3</f>
        <v>150000</v>
      </c>
      <c r="D10" s="42">
        <f>C10*1.01</f>
        <v>151500</v>
      </c>
      <c r="E10" s="42">
        <f t="shared" ref="E10:K10" si="2">D10*1.01</f>
        <v>153015</v>
      </c>
      <c r="F10" s="42">
        <f t="shared" si="2"/>
        <v>154545.15</v>
      </c>
      <c r="G10" s="42">
        <f t="shared" si="2"/>
        <v>156090.60149999999</v>
      </c>
      <c r="H10" s="42">
        <f t="shared" si="2"/>
        <v>157651.507515</v>
      </c>
      <c r="I10" s="42">
        <f t="shared" si="2"/>
        <v>159228.02259015001</v>
      </c>
      <c r="J10" s="42">
        <f t="shared" si="2"/>
        <v>160820.30281605152</v>
      </c>
      <c r="K10" s="42">
        <f t="shared" si="2"/>
        <v>162428.50584421205</v>
      </c>
    </row>
    <row r="11" spans="1:11" x14ac:dyDescent="0.6">
      <c r="A11" s="30"/>
      <c r="B11" s="30" t="s">
        <v>276</v>
      </c>
      <c r="C11" s="42">
        <f>('Ann 6'!$C$12*Budgets!$B$12)</f>
        <v>677250</v>
      </c>
      <c r="D11" s="42">
        <f>C11*1.01</f>
        <v>684022.5</v>
      </c>
      <c r="E11" s="42">
        <f>D11*1.01</f>
        <v>690862.72499999998</v>
      </c>
      <c r="F11" s="42">
        <f t="shared" ref="F11:K11" si="3">E11*1.01</f>
        <v>697771.35225</v>
      </c>
      <c r="G11" s="42">
        <f t="shared" si="3"/>
        <v>704749.06577250001</v>
      </c>
      <c r="H11" s="42">
        <f t="shared" si="3"/>
        <v>711796.55643022503</v>
      </c>
      <c r="I11" s="42">
        <f t="shared" si="3"/>
        <v>718914.52199452731</v>
      </c>
      <c r="J11" s="42">
        <f t="shared" si="3"/>
        <v>726103.66721447255</v>
      </c>
      <c r="K11" s="42">
        <f t="shared" si="3"/>
        <v>733364.70388661732</v>
      </c>
    </row>
    <row r="12" spans="1:11" x14ac:dyDescent="0.6">
      <c r="A12" s="30"/>
      <c r="B12" s="30" t="s">
        <v>160</v>
      </c>
      <c r="C12" s="42">
        <f>SUM(C7:C11)</f>
        <v>11859250</v>
      </c>
      <c r="D12" s="42">
        <f t="shared" ref="D12:K12" si="4">SUM(D7:D11)</f>
        <v>12782722.5</v>
      </c>
      <c r="E12" s="42">
        <f t="shared" si="4"/>
        <v>13706587.725</v>
      </c>
      <c r="F12" s="42">
        <f t="shared" si="4"/>
        <v>14630862.002250001</v>
      </c>
      <c r="G12" s="42">
        <f t="shared" si="4"/>
        <v>15555562.442272501</v>
      </c>
      <c r="H12" s="42">
        <f t="shared" si="4"/>
        <v>16480706.977695225</v>
      </c>
      <c r="I12" s="42">
        <f t="shared" si="4"/>
        <v>17406314.404022176</v>
      </c>
      <c r="J12" s="42">
        <f t="shared" si="4"/>
        <v>18332404.422439899</v>
      </c>
      <c r="K12" s="42">
        <f t="shared" si="4"/>
        <v>19258997.684760675</v>
      </c>
    </row>
    <row r="13" spans="1:11" x14ac:dyDescent="0.6">
      <c r="A13" s="30"/>
      <c r="B13" s="30" t="s">
        <v>219</v>
      </c>
      <c r="C13" s="42">
        <v>0</v>
      </c>
      <c r="D13" s="42">
        <f>C14</f>
        <v>148500</v>
      </c>
      <c r="E13" s="42">
        <f t="shared" ref="E13:K13" si="5">D14</f>
        <v>309375</v>
      </c>
      <c r="F13" s="42">
        <f t="shared" si="5"/>
        <v>482625</v>
      </c>
      <c r="G13" s="42">
        <f t="shared" si="5"/>
        <v>668250</v>
      </c>
      <c r="H13" s="42">
        <f t="shared" si="5"/>
        <v>866250</v>
      </c>
      <c r="I13" s="42">
        <f t="shared" si="5"/>
        <v>655875</v>
      </c>
      <c r="J13" s="42">
        <f t="shared" si="5"/>
        <v>433125</v>
      </c>
      <c r="K13" s="42">
        <f t="shared" si="5"/>
        <v>198000</v>
      </c>
    </row>
    <row r="14" spans="1:11" x14ac:dyDescent="0.6">
      <c r="A14" s="30"/>
      <c r="B14" s="30" t="s">
        <v>220</v>
      </c>
      <c r="C14" s="42">
        <f>Budgets!B31*110</f>
        <v>148500</v>
      </c>
      <c r="D14" s="42">
        <f>Budgets!C31*110</f>
        <v>309375</v>
      </c>
      <c r="E14" s="42">
        <f>Budgets!D31*110</f>
        <v>482625</v>
      </c>
      <c r="F14" s="42">
        <f>Budgets!E31*110</f>
        <v>668250</v>
      </c>
      <c r="G14" s="42">
        <f>Budgets!F31*110</f>
        <v>866250</v>
      </c>
      <c r="H14" s="42">
        <f>Budgets!G31*110</f>
        <v>655875</v>
      </c>
      <c r="I14" s="42">
        <f>Budgets!H31*110</f>
        <v>433125</v>
      </c>
      <c r="J14" s="42">
        <f>Budgets!I31*110</f>
        <v>198000</v>
      </c>
      <c r="K14" s="42">
        <f>Budgets!J31*110</f>
        <v>0</v>
      </c>
    </row>
    <row r="15" spans="1:11" x14ac:dyDescent="0.6">
      <c r="A15" s="30"/>
      <c r="B15" s="30" t="s">
        <v>161</v>
      </c>
      <c r="C15" s="42">
        <f>C12+C13-C14</f>
        <v>11710750</v>
      </c>
      <c r="D15" s="42">
        <f t="shared" ref="D15:K15" si="6">D12+D13-D14</f>
        <v>12621847.5</v>
      </c>
      <c r="E15" s="42">
        <f t="shared" si="6"/>
        <v>13533337.725</v>
      </c>
      <c r="F15" s="42">
        <f t="shared" si="6"/>
        <v>14445237.002250001</v>
      </c>
      <c r="G15" s="42">
        <f t="shared" si="6"/>
        <v>15357562.442272501</v>
      </c>
      <c r="H15" s="42">
        <f t="shared" si="6"/>
        <v>16691081.977695227</v>
      </c>
      <c r="I15" s="42">
        <f t="shared" si="6"/>
        <v>17629064.404022176</v>
      </c>
      <c r="J15" s="42">
        <f t="shared" si="6"/>
        <v>18567529.422439899</v>
      </c>
      <c r="K15" s="42">
        <f t="shared" si="6"/>
        <v>19456997.684760675</v>
      </c>
    </row>
    <row r="16" spans="1:11" x14ac:dyDescent="0.6">
      <c r="A16" s="30"/>
      <c r="B16" s="30"/>
      <c r="C16" s="42"/>
      <c r="D16" s="42"/>
      <c r="E16" s="42"/>
      <c r="F16" s="42"/>
      <c r="G16" s="42"/>
      <c r="H16" s="42"/>
      <c r="I16" s="42"/>
      <c r="J16" s="42"/>
      <c r="K16" s="42"/>
    </row>
    <row r="17" spans="1:11" x14ac:dyDescent="0.6">
      <c r="A17" s="30"/>
      <c r="B17" s="30" t="s">
        <v>50</v>
      </c>
      <c r="C17" s="42">
        <f>'Ann 8'!E11</f>
        <v>429000</v>
      </c>
      <c r="D17" s="42">
        <f>1.07*C17</f>
        <v>459030</v>
      </c>
      <c r="E17" s="42">
        <f t="shared" ref="E17:K17" si="7">1.07*D17</f>
        <v>491162.10000000003</v>
      </c>
      <c r="F17" s="42">
        <f t="shared" si="7"/>
        <v>525543.44700000004</v>
      </c>
      <c r="G17" s="42">
        <f t="shared" si="7"/>
        <v>562331.48829000012</v>
      </c>
      <c r="H17" s="42">
        <f t="shared" si="7"/>
        <v>601694.69247030013</v>
      </c>
      <c r="I17" s="42">
        <f t="shared" si="7"/>
        <v>643813.32094322122</v>
      </c>
      <c r="J17" s="42">
        <f t="shared" si="7"/>
        <v>688880.2534092468</v>
      </c>
      <c r="K17" s="42">
        <f t="shared" si="7"/>
        <v>737101.87114789407</v>
      </c>
    </row>
    <row r="18" spans="1:11" x14ac:dyDescent="0.6">
      <c r="A18" s="30"/>
      <c r="B18" s="30" t="s">
        <v>283</v>
      </c>
      <c r="C18" s="42">
        <f>5%*C22</f>
        <v>735075</v>
      </c>
      <c r="D18" s="42">
        <f t="shared" ref="D18:K18" si="8">5%*D22</f>
        <v>804294.5625</v>
      </c>
      <c r="E18" s="42">
        <f t="shared" si="8"/>
        <v>866163.375</v>
      </c>
      <c r="F18" s="42">
        <f t="shared" si="8"/>
        <v>928032.1875</v>
      </c>
      <c r="G18" s="42">
        <f t="shared" si="8"/>
        <v>989901</v>
      </c>
      <c r="H18" s="42">
        <f t="shared" si="8"/>
        <v>1073017.6875</v>
      </c>
      <c r="I18" s="42">
        <f t="shared" si="8"/>
        <v>1136136.375</v>
      </c>
      <c r="J18" s="42">
        <f t="shared" si="8"/>
        <v>1199255.0625</v>
      </c>
      <c r="K18" s="42">
        <f t="shared" si="8"/>
        <v>1259874</v>
      </c>
    </row>
    <row r="19" spans="1:11" x14ac:dyDescent="0.6">
      <c r="A19" s="30"/>
      <c r="B19" s="30" t="s">
        <v>8</v>
      </c>
      <c r="C19" s="42">
        <f t="shared" ref="C19:K19" si="9">SUM(C17:C18)</f>
        <v>1164075</v>
      </c>
      <c r="D19" s="42">
        <f t="shared" si="9"/>
        <v>1263324.5625</v>
      </c>
      <c r="E19" s="42">
        <f t="shared" si="9"/>
        <v>1357325.4750000001</v>
      </c>
      <c r="F19" s="42">
        <f t="shared" si="9"/>
        <v>1453575.6345000002</v>
      </c>
      <c r="G19" s="42">
        <f t="shared" si="9"/>
        <v>1552232.4882900002</v>
      </c>
      <c r="H19" s="42">
        <f t="shared" si="9"/>
        <v>1674712.3799703</v>
      </c>
      <c r="I19" s="42">
        <f t="shared" si="9"/>
        <v>1779949.6959432212</v>
      </c>
      <c r="J19" s="42">
        <f t="shared" si="9"/>
        <v>1888135.3159092469</v>
      </c>
      <c r="K19" s="42">
        <f t="shared" si="9"/>
        <v>1996975.8711478941</v>
      </c>
    </row>
    <row r="20" spans="1:11" x14ac:dyDescent="0.6">
      <c r="A20" s="30"/>
      <c r="B20" s="30"/>
      <c r="C20" s="42"/>
      <c r="D20" s="42"/>
      <c r="E20" s="42"/>
      <c r="F20" s="42"/>
      <c r="G20" s="42"/>
      <c r="H20" s="42"/>
      <c r="I20" s="42"/>
      <c r="J20" s="42"/>
      <c r="K20" s="42"/>
    </row>
    <row r="21" spans="1:11" x14ac:dyDescent="0.6">
      <c r="A21" s="30"/>
      <c r="B21" s="30" t="s">
        <v>82</v>
      </c>
      <c r="C21" s="42">
        <f t="shared" ref="C21:K21" si="10">C19+C15</f>
        <v>12874825</v>
      </c>
      <c r="D21" s="42">
        <f t="shared" si="10"/>
        <v>13885172.0625</v>
      </c>
      <c r="E21" s="42">
        <f t="shared" si="10"/>
        <v>14890663.199999999</v>
      </c>
      <c r="F21" s="42">
        <f t="shared" si="10"/>
        <v>15898812.636750001</v>
      </c>
      <c r="G21" s="42">
        <f t="shared" si="10"/>
        <v>16909794.9305625</v>
      </c>
      <c r="H21" s="42">
        <f t="shared" si="10"/>
        <v>18365794.357665528</v>
      </c>
      <c r="I21" s="42">
        <f t="shared" si="10"/>
        <v>19409014.099965397</v>
      </c>
      <c r="J21" s="42">
        <f t="shared" si="10"/>
        <v>20455664.738349147</v>
      </c>
      <c r="K21" s="42">
        <f t="shared" si="10"/>
        <v>21453973.555908568</v>
      </c>
    </row>
    <row r="22" spans="1:11" x14ac:dyDescent="0.6">
      <c r="A22" s="30"/>
      <c r="B22" s="30" t="s">
        <v>278</v>
      </c>
      <c r="C22" s="42">
        <f>Budgets!B7</f>
        <v>14701500</v>
      </c>
      <c r="D22" s="42">
        <f>Budgets!C7</f>
        <v>16085891.25</v>
      </c>
      <c r="E22" s="42">
        <f>Budgets!D7</f>
        <v>17323267.5</v>
      </c>
      <c r="F22" s="42">
        <f>Budgets!E7</f>
        <v>18560643.75</v>
      </c>
      <c r="G22" s="42">
        <f>Budgets!F7</f>
        <v>19798020</v>
      </c>
      <c r="H22" s="42">
        <f>Budgets!G7</f>
        <v>21460353.75</v>
      </c>
      <c r="I22" s="42">
        <f>Budgets!H7</f>
        <v>22722727.5</v>
      </c>
      <c r="J22" s="42">
        <f>Budgets!I7</f>
        <v>23985101.25</v>
      </c>
      <c r="K22" s="42">
        <f>Budgets!J7</f>
        <v>25197480</v>
      </c>
    </row>
    <row r="23" spans="1:11" x14ac:dyDescent="0.6">
      <c r="A23" s="30"/>
      <c r="B23" s="30" t="s">
        <v>279</v>
      </c>
      <c r="C23" s="42">
        <f>Budgets!$B$20*Budgets!$B$19</f>
        <v>315000</v>
      </c>
      <c r="D23" s="42">
        <f>C23*1.02</f>
        <v>321300</v>
      </c>
      <c r="E23" s="42">
        <f t="shared" ref="E23:K23" si="11">D23*1.02</f>
        <v>327726</v>
      </c>
      <c r="F23" s="42">
        <f t="shared" si="11"/>
        <v>334280.52</v>
      </c>
      <c r="G23" s="42">
        <f t="shared" si="11"/>
        <v>340966.13040000002</v>
      </c>
      <c r="H23" s="42">
        <f t="shared" si="11"/>
        <v>347785.45300800004</v>
      </c>
      <c r="I23" s="42">
        <f t="shared" si="11"/>
        <v>354741.16206816008</v>
      </c>
      <c r="J23" s="42">
        <f t="shared" si="11"/>
        <v>361835.9853095233</v>
      </c>
      <c r="K23" s="42">
        <f t="shared" si="11"/>
        <v>369072.70501571376</v>
      </c>
    </row>
    <row r="24" spans="1:11" x14ac:dyDescent="0.6">
      <c r="A24" s="30"/>
      <c r="B24" s="30" t="s">
        <v>83</v>
      </c>
      <c r="C24" s="42">
        <f>C22-C21+C23</f>
        <v>2141675</v>
      </c>
      <c r="D24" s="42">
        <f t="shared" ref="D24" si="12">D22-D21+D23</f>
        <v>2522019.1875</v>
      </c>
      <c r="E24" s="42">
        <f t="shared" ref="E24" si="13">E22-E21+E23</f>
        <v>2760330.3000000007</v>
      </c>
      <c r="F24" s="42">
        <f t="shared" ref="F24" si="14">F22-F21+F23</f>
        <v>2996111.6332499986</v>
      </c>
      <c r="G24" s="42">
        <f t="shared" ref="G24" si="15">G22-G21+G23</f>
        <v>3229191.1998375002</v>
      </c>
      <c r="H24" s="42">
        <f t="shared" ref="H24" si="16">H22-H21+H23</f>
        <v>3442344.8453424722</v>
      </c>
      <c r="I24" s="42">
        <f t="shared" ref="I24" si="17">I22-I21+I23</f>
        <v>3668454.562102763</v>
      </c>
      <c r="J24" s="42">
        <f t="shared" ref="J24" si="18">J22-J21+J23</f>
        <v>3891272.4969603764</v>
      </c>
      <c r="K24" s="42">
        <f t="shared" ref="K24" si="19">K22-K21+K23</f>
        <v>4112579.1491071456</v>
      </c>
    </row>
    <row r="25" spans="1:11" x14ac:dyDescent="0.6">
      <c r="A25" s="30"/>
      <c r="B25" s="30"/>
      <c r="C25" s="42"/>
      <c r="D25" s="42"/>
      <c r="E25" s="42"/>
      <c r="F25" s="42"/>
      <c r="G25" s="42"/>
      <c r="H25" s="42"/>
      <c r="I25" s="42"/>
      <c r="J25" s="42"/>
      <c r="K25" s="42"/>
    </row>
    <row r="26" spans="1:11" x14ac:dyDescent="0.6">
      <c r="A26" s="30"/>
      <c r="B26" s="30" t="s">
        <v>84</v>
      </c>
      <c r="C26" s="42"/>
      <c r="D26" s="42"/>
      <c r="E26" s="42"/>
      <c r="F26" s="42"/>
      <c r="G26" s="42"/>
      <c r="H26" s="42"/>
      <c r="I26" s="42"/>
      <c r="J26" s="42"/>
      <c r="K26" s="42"/>
    </row>
    <row r="27" spans="1:11" x14ac:dyDescent="0.6">
      <c r="A27" s="30"/>
      <c r="B27" s="30" t="s">
        <v>85</v>
      </c>
      <c r="C27" s="42">
        <f>SUM('Ann 13'!E9:E12)*100000</f>
        <v>331521.34615384613</v>
      </c>
      <c r="D27" s="42">
        <f>SUM('Ann 13'!E13:E16)*100000</f>
        <v>289678.84615384607</v>
      </c>
      <c r="E27" s="42">
        <f>SUM('Ann 13'!E17:E20)*100000</f>
        <v>238180.38461538454</v>
      </c>
      <c r="F27" s="42">
        <f>SUM('Ann 13'!E21:E24)*100000</f>
        <v>186681.92307692292</v>
      </c>
      <c r="G27" s="42">
        <f>SUM('Ann 13'!E25:E28)*100000</f>
        <v>135183.46153846136</v>
      </c>
      <c r="H27" s="42">
        <f>SUM('Ann 13'!E29:E32)*100000</f>
        <v>83684.999999999782</v>
      </c>
      <c r="I27" s="42">
        <f>SUM('Ann 13'!E33:E36)*100000</f>
        <v>32186.538461538243</v>
      </c>
      <c r="J27" s="42">
        <v>0</v>
      </c>
      <c r="K27" s="42">
        <v>0</v>
      </c>
    </row>
    <row r="28" spans="1:11" x14ac:dyDescent="0.6">
      <c r="A28" s="30"/>
      <c r="B28" s="30" t="s">
        <v>154</v>
      </c>
      <c r="C28" s="42">
        <f>'Ann 1'!$C$25*100000*10%</f>
        <v>10000</v>
      </c>
      <c r="D28" s="42">
        <f>'Ann 1'!$C$25*100000*10%</f>
        <v>10000</v>
      </c>
      <c r="E28" s="42">
        <f>'Ann 1'!$C$25*100000*10%</f>
        <v>10000</v>
      </c>
      <c r="F28" s="42">
        <f>'Ann 1'!$C$25*100000*10%</f>
        <v>10000</v>
      </c>
      <c r="G28" s="42">
        <f>'Ann 1'!$C$25*100000*10%</f>
        <v>10000</v>
      </c>
      <c r="H28" s="42">
        <f>'Ann 1'!$C$25*100000*10%</f>
        <v>10000</v>
      </c>
      <c r="I28" s="42">
        <f>'Ann 1'!$C$25*100000*10%</f>
        <v>10000</v>
      </c>
      <c r="J28" s="42">
        <f>'Ann 1'!$C$25*100000*10%</f>
        <v>10000</v>
      </c>
      <c r="K28" s="42">
        <f>'Ann 1'!$C$25*100000*10%</f>
        <v>10000</v>
      </c>
    </row>
    <row r="29" spans="1:11" x14ac:dyDescent="0.6">
      <c r="A29" s="30"/>
      <c r="B29" s="43" t="s">
        <v>232</v>
      </c>
      <c r="C29" s="42">
        <f>SUM(C27:C28)</f>
        <v>341521.34615384613</v>
      </c>
      <c r="D29" s="42">
        <f t="shared" ref="D29:K29" si="20">SUM(D27:D28)</f>
        <v>299678.84615384607</v>
      </c>
      <c r="E29" s="42">
        <f t="shared" si="20"/>
        <v>248180.38461538454</v>
      </c>
      <c r="F29" s="42">
        <f t="shared" si="20"/>
        <v>196681.92307692292</v>
      </c>
      <c r="G29" s="42">
        <f t="shared" si="20"/>
        <v>145183.46153846136</v>
      </c>
      <c r="H29" s="42">
        <f t="shared" si="20"/>
        <v>93684.999999999782</v>
      </c>
      <c r="I29" s="42">
        <f t="shared" si="20"/>
        <v>42186.538461538243</v>
      </c>
      <c r="J29" s="42">
        <f t="shared" si="20"/>
        <v>10000</v>
      </c>
      <c r="K29" s="42">
        <f t="shared" si="20"/>
        <v>10000</v>
      </c>
    </row>
    <row r="30" spans="1:11" x14ac:dyDescent="0.6">
      <c r="A30" s="30"/>
      <c r="B30" s="30"/>
      <c r="C30" s="42"/>
      <c r="D30" s="42"/>
      <c r="E30" s="42"/>
      <c r="F30" s="42"/>
      <c r="G30" s="42"/>
      <c r="H30" s="42"/>
      <c r="I30" s="42"/>
      <c r="J30" s="42"/>
      <c r="K30" s="42"/>
    </row>
    <row r="31" spans="1:11" x14ac:dyDescent="0.6">
      <c r="A31" s="30"/>
      <c r="B31" s="30" t="s">
        <v>95</v>
      </c>
      <c r="C31" s="42">
        <f t="shared" ref="C31:K31" si="21">C24-C29</f>
        <v>1800153.653846154</v>
      </c>
      <c r="D31" s="42">
        <f t="shared" si="21"/>
        <v>2222340.341346154</v>
      </c>
      <c r="E31" s="42">
        <f t="shared" si="21"/>
        <v>2512149.9153846162</v>
      </c>
      <c r="F31" s="42">
        <f t="shared" si="21"/>
        <v>2799429.7101730756</v>
      </c>
      <c r="G31" s="42">
        <f t="shared" si="21"/>
        <v>3084007.7382990387</v>
      </c>
      <c r="H31" s="42">
        <f t="shared" si="21"/>
        <v>3348659.8453424722</v>
      </c>
      <c r="I31" s="42">
        <f t="shared" si="21"/>
        <v>3626268.023641225</v>
      </c>
      <c r="J31" s="42">
        <f t="shared" si="21"/>
        <v>3881272.4969603764</v>
      </c>
      <c r="K31" s="42">
        <f t="shared" si="21"/>
        <v>4102579.1491071456</v>
      </c>
    </row>
    <row r="32" spans="1:11" x14ac:dyDescent="0.6">
      <c r="A32" s="30"/>
      <c r="B32" s="30" t="s">
        <v>163</v>
      </c>
      <c r="C32" s="42">
        <f>'Ann 1'!C34*100000</f>
        <v>10000</v>
      </c>
      <c r="D32" s="42">
        <v>0</v>
      </c>
      <c r="E32" s="42">
        <v>0</v>
      </c>
      <c r="F32" s="42">
        <v>0</v>
      </c>
      <c r="G32" s="42">
        <v>0</v>
      </c>
      <c r="H32" s="42">
        <v>0</v>
      </c>
      <c r="I32" s="42">
        <v>0</v>
      </c>
      <c r="J32" s="42">
        <v>0</v>
      </c>
      <c r="K32" s="42">
        <v>0</v>
      </c>
    </row>
    <row r="33" spans="1:11" x14ac:dyDescent="0.6">
      <c r="A33" s="30"/>
      <c r="B33" s="43" t="s">
        <v>96</v>
      </c>
      <c r="C33" s="42">
        <f>'Ann 9'!C12+'Ann 9'!D12+'Ann 9'!E12</f>
        <v>930000</v>
      </c>
      <c r="D33" s="42">
        <f>'Ann 9'!C13+'Ann 9'!D13+'Ann 9'!E13</f>
        <v>790500</v>
      </c>
      <c r="E33" s="42">
        <f>'Ann 9'!C14+'Ann 9'!D14+'Ann 9'!E14</f>
        <v>671925</v>
      </c>
      <c r="F33" s="42">
        <f>'Ann 9'!C15+'Ann 9'!D15+'Ann 9'!E15</f>
        <v>571136.25</v>
      </c>
      <c r="G33" s="42">
        <f>'Ann 9'!C16+'Ann 9'!D16+'Ann 9'!E16</f>
        <v>485465.8125</v>
      </c>
      <c r="H33" s="42">
        <f>'Ann 9'!C17+'Ann 9'!D17+'Ann 9'!E17</f>
        <v>412645.94062499999</v>
      </c>
      <c r="I33" s="42">
        <f>'Ann 9'!C18+'Ann 9'!D18+'Ann 9'!E18</f>
        <v>350749.04953125003</v>
      </c>
      <c r="J33" s="42">
        <f>'Ann 9'!C19+'Ann 9'!D19+'Ann 9'!E19</f>
        <v>298136.69210156251</v>
      </c>
      <c r="K33" s="42">
        <f>'Ann 9'!C20+'Ann 9'!D20+'Ann 9'!E20</f>
        <v>253416.18828632811</v>
      </c>
    </row>
    <row r="34" spans="1:11" x14ac:dyDescent="0.6">
      <c r="A34" s="30"/>
      <c r="B34" s="43" t="s">
        <v>97</v>
      </c>
      <c r="C34" s="42">
        <f>C31-C32-C33</f>
        <v>860153.65384615399</v>
      </c>
      <c r="D34" s="42">
        <f t="shared" ref="D34:K34" si="22">D31-D32-D33</f>
        <v>1431840.341346154</v>
      </c>
      <c r="E34" s="42">
        <f t="shared" si="22"/>
        <v>1840224.9153846162</v>
      </c>
      <c r="F34" s="42">
        <f t="shared" si="22"/>
        <v>2228293.4601730756</v>
      </c>
      <c r="G34" s="42">
        <f t="shared" si="22"/>
        <v>2598541.9257990387</v>
      </c>
      <c r="H34" s="42">
        <f t="shared" si="22"/>
        <v>2936013.9047174724</v>
      </c>
      <c r="I34" s="42">
        <f t="shared" si="22"/>
        <v>3275518.9741099747</v>
      </c>
      <c r="J34" s="42">
        <f t="shared" si="22"/>
        <v>3583135.804858814</v>
      </c>
      <c r="K34" s="42">
        <f t="shared" si="22"/>
        <v>3849162.9608208174</v>
      </c>
    </row>
    <row r="35" spans="1:11" x14ac:dyDescent="0.6">
      <c r="A35" s="30"/>
      <c r="B35" s="43" t="s">
        <v>98</v>
      </c>
      <c r="C35" s="42">
        <f>'Ann 10'!B14</f>
        <v>261046.09615384619</v>
      </c>
      <c r="D35" s="42">
        <f>'Ann 10'!C14</f>
        <v>429552.10240384616</v>
      </c>
      <c r="E35" s="42">
        <f>'Ann 10'!D14</f>
        <v>552067.47461538482</v>
      </c>
      <c r="F35" s="42">
        <f>'Ann 10'!E14</f>
        <v>668488.03805192269</v>
      </c>
      <c r="G35" s="42">
        <f>'Ann 10'!F14</f>
        <v>779562.57773971162</v>
      </c>
      <c r="H35" s="42">
        <f>'Ann 10'!G14</f>
        <v>880804.17141524167</v>
      </c>
      <c r="I35" s="42">
        <f>'Ann 10'!H14</f>
        <v>982655.69223299238</v>
      </c>
      <c r="J35" s="42">
        <f>'Ann 10'!I14</f>
        <v>1074940.7414576442</v>
      </c>
      <c r="K35" s="42">
        <f>'Ann 10'!J14</f>
        <v>1154748.8882462452</v>
      </c>
    </row>
    <row r="36" spans="1:11" x14ac:dyDescent="0.6">
      <c r="A36" s="30"/>
      <c r="B36" s="43" t="s">
        <v>99</v>
      </c>
      <c r="C36" s="42">
        <f>C34-C35</f>
        <v>599107.55769230775</v>
      </c>
      <c r="D36" s="42">
        <f>D34-D35</f>
        <v>1002288.2389423079</v>
      </c>
      <c r="E36" s="42">
        <f t="shared" ref="E36:K36" si="23">E34-E35</f>
        <v>1288157.4407692314</v>
      </c>
      <c r="F36" s="42">
        <f t="shared" si="23"/>
        <v>1559805.4221211527</v>
      </c>
      <c r="G36" s="42">
        <f t="shared" si="23"/>
        <v>1818979.3480593271</v>
      </c>
      <c r="H36" s="42">
        <f t="shared" si="23"/>
        <v>2055209.7333022307</v>
      </c>
      <c r="I36" s="42">
        <f t="shared" si="23"/>
        <v>2292863.2818769822</v>
      </c>
      <c r="J36" s="42">
        <f t="shared" si="23"/>
        <v>2508195.0634011701</v>
      </c>
      <c r="K36" s="42">
        <f t="shared" si="23"/>
        <v>2694414.0725745722</v>
      </c>
    </row>
    <row r="37" spans="1:11" x14ac:dyDescent="0.6">
      <c r="A37" s="30"/>
      <c r="B37" s="43" t="s">
        <v>227</v>
      </c>
      <c r="C37" s="42">
        <f>C36*80%</f>
        <v>479286.0461538462</v>
      </c>
      <c r="D37" s="42">
        <f t="shared" ref="D37:K37" si="24">D36*80%</f>
        <v>801830.59115384636</v>
      </c>
      <c r="E37" s="42">
        <f t="shared" si="24"/>
        <v>1030525.9526153852</v>
      </c>
      <c r="F37" s="42">
        <f t="shared" si="24"/>
        <v>1247844.3376969222</v>
      </c>
      <c r="G37" s="42">
        <f t="shared" si="24"/>
        <v>1455183.4784474617</v>
      </c>
      <c r="H37" s="42">
        <f t="shared" si="24"/>
        <v>1644167.7866417847</v>
      </c>
      <c r="I37" s="42">
        <f t="shared" si="24"/>
        <v>1834290.6255015859</v>
      </c>
      <c r="J37" s="42">
        <f t="shared" si="24"/>
        <v>2006556.0507209362</v>
      </c>
      <c r="K37" s="42">
        <f t="shared" si="24"/>
        <v>2155531.2580596576</v>
      </c>
    </row>
    <row r="38" spans="1:11" x14ac:dyDescent="0.6">
      <c r="A38" s="30"/>
      <c r="B38" s="43" t="s">
        <v>109</v>
      </c>
      <c r="C38" s="42">
        <f>C36-C37</f>
        <v>119821.51153846155</v>
      </c>
      <c r="D38" s="42">
        <f t="shared" ref="D38:K38" si="25">D36-D37</f>
        <v>200457.64778846153</v>
      </c>
      <c r="E38" s="42">
        <f t="shared" si="25"/>
        <v>257631.48815384624</v>
      </c>
      <c r="F38" s="42">
        <f t="shared" si="25"/>
        <v>311961.0844242305</v>
      </c>
      <c r="G38" s="42">
        <f t="shared" si="25"/>
        <v>363795.86961186538</v>
      </c>
      <c r="H38" s="42">
        <f t="shared" si="25"/>
        <v>411041.946660446</v>
      </c>
      <c r="I38" s="42">
        <f t="shared" si="25"/>
        <v>458572.6563753963</v>
      </c>
      <c r="J38" s="42">
        <f t="shared" si="25"/>
        <v>501639.01268023392</v>
      </c>
      <c r="K38" s="42">
        <f t="shared" si="25"/>
        <v>538882.81451491453</v>
      </c>
    </row>
    <row r="39" spans="1:11" x14ac:dyDescent="0.6">
      <c r="A39" s="23"/>
      <c r="B39" s="51"/>
      <c r="C39" s="35"/>
      <c r="D39" s="35"/>
      <c r="E39" s="35"/>
      <c r="F39" s="35"/>
      <c r="G39" s="35"/>
      <c r="H39" s="35"/>
      <c r="I39" s="35"/>
      <c r="J39" s="35"/>
      <c r="K39" s="35"/>
    </row>
    <row r="40" spans="1:11" x14ac:dyDescent="0.6">
      <c r="A40" s="2" t="s">
        <v>280</v>
      </c>
    </row>
    <row r="41" spans="1:11" x14ac:dyDescent="0.6">
      <c r="A41" s="2" t="s">
        <v>281</v>
      </c>
    </row>
    <row r="42" spans="1:11" x14ac:dyDescent="0.6">
      <c r="A42" s="2" t="s">
        <v>286</v>
      </c>
    </row>
  </sheetData>
  <mergeCells count="3">
    <mergeCell ref="C3:K3"/>
    <mergeCell ref="B3:B4"/>
    <mergeCell ref="A3:A4"/>
  </mergeCells>
  <pageMargins left="0.7" right="0.7" top="0.75" bottom="0.75" header="0.3" footer="0.3"/>
  <pageSetup scale="58" fitToHeight="0" orientation="landscape" r:id="rId1"/>
  <ignoredErrors>
    <ignoredError sqref="D2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C10C-E414-4E29-98C1-5FAEC5C52CAE}">
  <sheetPr>
    <pageSetUpPr fitToPage="1"/>
  </sheetPr>
  <dimension ref="A1:M55"/>
  <sheetViews>
    <sheetView tabSelected="1" topLeftCell="A33" workbookViewId="0">
      <selection activeCell="F39" sqref="F39"/>
    </sheetView>
  </sheetViews>
  <sheetFormatPr defaultRowHeight="17" x14ac:dyDescent="0.6"/>
  <cols>
    <col min="1" max="1" width="8.7265625" style="2"/>
    <col min="2" max="2" width="28.26953125" style="2" customWidth="1"/>
    <col min="3" max="3" width="15.6328125" style="2" bestFit="1" customWidth="1"/>
    <col min="4" max="10" width="13.7265625" style="2" bestFit="1" customWidth="1"/>
    <col min="11" max="11" width="13.6328125" style="2" bestFit="1" customWidth="1"/>
    <col min="12" max="12" width="10" style="2" bestFit="1" customWidth="1"/>
    <col min="13" max="16384" width="8.7265625" style="2"/>
  </cols>
  <sheetData>
    <row r="1" spans="1:11" x14ac:dyDescent="0.6">
      <c r="A1" s="1" t="s">
        <v>110</v>
      </c>
    </row>
    <row r="3" spans="1:11" x14ac:dyDescent="0.6">
      <c r="A3" s="2" t="s">
        <v>245</v>
      </c>
    </row>
    <row r="5" spans="1:11" x14ac:dyDescent="0.6">
      <c r="A5" s="133" t="s">
        <v>36</v>
      </c>
      <c r="B5" s="133" t="s">
        <v>37</v>
      </c>
      <c r="C5" s="134" t="s">
        <v>47</v>
      </c>
      <c r="D5" s="134"/>
      <c r="E5" s="134"/>
      <c r="F5" s="134"/>
      <c r="G5" s="134"/>
      <c r="H5" s="134"/>
      <c r="I5" s="134"/>
      <c r="J5" s="134"/>
      <c r="K5" s="134"/>
    </row>
    <row r="6" spans="1:11" x14ac:dyDescent="0.6">
      <c r="A6" s="133"/>
      <c r="B6" s="133"/>
      <c r="C6" s="44" t="s">
        <v>38</v>
      </c>
      <c r="D6" s="44" t="s">
        <v>39</v>
      </c>
      <c r="E6" s="44" t="s">
        <v>40</v>
      </c>
      <c r="F6" s="44" t="s">
        <v>41</v>
      </c>
      <c r="G6" s="44" t="s">
        <v>42</v>
      </c>
      <c r="H6" s="44" t="s">
        <v>43</v>
      </c>
      <c r="I6" s="44" t="s">
        <v>44</v>
      </c>
      <c r="J6" s="44" t="s">
        <v>45</v>
      </c>
      <c r="K6" s="44" t="s">
        <v>46</v>
      </c>
    </row>
    <row r="7" spans="1:11" x14ac:dyDescent="0.6">
      <c r="A7" s="33" t="s">
        <v>141</v>
      </c>
      <c r="B7" s="46" t="s">
        <v>111</v>
      </c>
      <c r="C7" s="47"/>
      <c r="D7" s="47"/>
      <c r="E7" s="48"/>
      <c r="F7" s="48"/>
      <c r="G7" s="48"/>
      <c r="H7" s="48"/>
      <c r="I7" s="48"/>
      <c r="J7" s="48"/>
      <c r="K7" s="48"/>
    </row>
    <row r="8" spans="1:11" x14ac:dyDescent="0.6">
      <c r="A8" s="22">
        <v>1</v>
      </c>
      <c r="B8" s="23" t="s">
        <v>112</v>
      </c>
      <c r="C8" s="9"/>
      <c r="D8" s="9"/>
      <c r="E8" s="10"/>
      <c r="F8" s="10"/>
      <c r="G8" s="10"/>
      <c r="H8" s="10"/>
      <c r="I8" s="10"/>
      <c r="J8" s="10"/>
      <c r="K8" s="10"/>
    </row>
    <row r="9" spans="1:11" x14ac:dyDescent="0.6">
      <c r="A9" s="22"/>
      <c r="B9" s="23" t="s">
        <v>113</v>
      </c>
      <c r="C9" s="50">
        <f>('Ann 9'!F9*100000)+('Ann 1'!C8*100000)</f>
        <v>6200000</v>
      </c>
      <c r="D9" s="50">
        <f>C11</f>
        <v>5270000</v>
      </c>
      <c r="E9" s="24">
        <f t="shared" ref="E9:K9" si="0">D11</f>
        <v>4479500</v>
      </c>
      <c r="F9" s="24">
        <f t="shared" si="0"/>
        <v>3807575</v>
      </c>
      <c r="G9" s="24">
        <f t="shared" si="0"/>
        <v>3236438.75</v>
      </c>
      <c r="H9" s="24">
        <f t="shared" si="0"/>
        <v>2750972.9375</v>
      </c>
      <c r="I9" s="24">
        <f t="shared" si="0"/>
        <v>2338326.9968750002</v>
      </c>
      <c r="J9" s="24">
        <f t="shared" si="0"/>
        <v>1987577.9473437502</v>
      </c>
      <c r="K9" s="24">
        <f t="shared" si="0"/>
        <v>1689441.2552421875</v>
      </c>
    </row>
    <row r="10" spans="1:11" x14ac:dyDescent="0.6">
      <c r="A10" s="22"/>
      <c r="B10" s="23" t="s">
        <v>114</v>
      </c>
      <c r="C10" s="50">
        <f>'Ann 9'!C12+'Ann 9'!D12+'Ann 9'!E12</f>
        <v>930000</v>
      </c>
      <c r="D10" s="50">
        <f>'Ann 9'!C13+'Ann 9'!D13+'Ann 9'!E13</f>
        <v>790500</v>
      </c>
      <c r="E10" s="24">
        <f>'Ann 9'!C14+'Ann 9'!D14+'Ann 9'!E14</f>
        <v>671925</v>
      </c>
      <c r="F10" s="24">
        <f>'Ann 9'!C15+'Ann 9'!D15+'Ann 9'!E15</f>
        <v>571136.25</v>
      </c>
      <c r="G10" s="24">
        <f>'Ann 9'!C16+'Ann 9'!D16+'Ann 9'!E16</f>
        <v>485465.8125</v>
      </c>
      <c r="H10" s="24">
        <f>'Ann 9'!C17+'Ann 9'!D17+'Ann 9'!E17</f>
        <v>412645.94062499999</v>
      </c>
      <c r="I10" s="24">
        <f>+'Ann 9'!C18+'Ann 9'!D18+'Ann 9'!E18</f>
        <v>350749.04953125003</v>
      </c>
      <c r="J10" s="24">
        <f>'Ann 9'!C19+'Ann 9'!D19+'Ann 9'!E19</f>
        <v>298136.69210156251</v>
      </c>
      <c r="K10" s="24">
        <f>+'Ann 9'!C20+'Ann 9'!D20+'Ann 9'!E20</f>
        <v>253416.18828632811</v>
      </c>
    </row>
    <row r="11" spans="1:11" collapsed="1" x14ac:dyDescent="0.6">
      <c r="A11" s="22"/>
      <c r="B11" s="23" t="s">
        <v>248</v>
      </c>
      <c r="C11" s="50">
        <f>C9-C10</f>
        <v>5270000</v>
      </c>
      <c r="D11" s="50">
        <f>D9-D10</f>
        <v>4479500</v>
      </c>
      <c r="E11" s="24">
        <f t="shared" ref="E11:K11" si="1">E9-E10</f>
        <v>3807575</v>
      </c>
      <c r="F11" s="24">
        <f t="shared" si="1"/>
        <v>3236438.75</v>
      </c>
      <c r="G11" s="24">
        <f t="shared" si="1"/>
        <v>2750972.9375</v>
      </c>
      <c r="H11" s="24">
        <f t="shared" si="1"/>
        <v>2338326.9968750002</v>
      </c>
      <c r="I11" s="24">
        <f t="shared" si="1"/>
        <v>1987577.9473437502</v>
      </c>
      <c r="J11" s="24">
        <f t="shared" si="1"/>
        <v>1689441.2552421875</v>
      </c>
      <c r="K11" s="24">
        <f t="shared" si="1"/>
        <v>1436025.0669558593</v>
      </c>
    </row>
    <row r="12" spans="1:11" x14ac:dyDescent="0.6">
      <c r="A12" s="22">
        <v>2</v>
      </c>
      <c r="B12" s="23" t="s">
        <v>115</v>
      </c>
      <c r="C12" s="50">
        <f>('Ann 4'!C22+'Ann 4'!C23)*30/150</f>
        <v>3003300</v>
      </c>
      <c r="D12" s="50">
        <f>('Ann 4'!D22+'Ann 4'!D23)*30/150</f>
        <v>3281438.25</v>
      </c>
      <c r="E12" s="50">
        <f>('Ann 4'!E22+'Ann 4'!E23)*30/150</f>
        <v>3530198.7</v>
      </c>
      <c r="F12" s="50">
        <f>('Ann 4'!F22+'Ann 4'!F23)*30/150</f>
        <v>3778984.8540000003</v>
      </c>
      <c r="G12" s="50">
        <f>('Ann 4'!G22+'Ann 4'!G23)*30/150</f>
        <v>4027797.2260799995</v>
      </c>
      <c r="H12" s="50">
        <f>('Ann 4'!H22+'Ann 4'!H23)*30/150</f>
        <v>4361627.8406015998</v>
      </c>
      <c r="I12" s="50">
        <f>('Ann 4'!I22+'Ann 4'!I23)*30/150</f>
        <v>4615493.7324136319</v>
      </c>
      <c r="J12" s="50">
        <f>('Ann 4'!J22+'Ann 4'!J23)*30/150</f>
        <v>4869387.4470619047</v>
      </c>
      <c r="K12" s="50">
        <f>('Ann 4'!K22+'Ann 4'!K23)*30/150</f>
        <v>5113310.5410031434</v>
      </c>
    </row>
    <row r="13" spans="1:11" x14ac:dyDescent="0.6">
      <c r="A13" s="22">
        <v>3</v>
      </c>
      <c r="B13" s="51" t="s">
        <v>229</v>
      </c>
      <c r="C13" s="50">
        <f>'Ann 4'!C14</f>
        <v>148500</v>
      </c>
      <c r="D13" s="49">
        <f>'Ann 4'!D14</f>
        <v>309375</v>
      </c>
      <c r="E13" s="49">
        <f>'Ann 4'!E14</f>
        <v>482625</v>
      </c>
      <c r="F13" s="49">
        <f>'Ann 4'!F14</f>
        <v>668250</v>
      </c>
      <c r="G13" s="49">
        <f>'Ann 4'!G14</f>
        <v>866250</v>
      </c>
      <c r="H13" s="49">
        <f>'Ann 4'!H14</f>
        <v>655875</v>
      </c>
      <c r="I13" s="49">
        <f>'Ann 4'!I14</f>
        <v>433125</v>
      </c>
      <c r="J13" s="49">
        <f>'Ann 4'!J14</f>
        <v>198000</v>
      </c>
      <c r="K13" s="49">
        <f>'Ann 4'!K14</f>
        <v>0</v>
      </c>
    </row>
    <row r="14" spans="1:11" x14ac:dyDescent="0.6">
      <c r="A14" s="22">
        <v>4</v>
      </c>
      <c r="B14" s="23" t="s">
        <v>116</v>
      </c>
      <c r="C14" s="109">
        <f>'Ann 14'!C21</f>
        <v>4058867.6653846158</v>
      </c>
      <c r="D14" s="52">
        <f>'Ann 14'!D21</f>
        <v>4292504.370865386</v>
      </c>
      <c r="E14" s="52">
        <f>'Ann 14'!E21</f>
        <v>4481742.7167115407</v>
      </c>
      <c r="F14" s="52">
        <f>'Ann 14'!F21</f>
        <v>4612121.2048280789</v>
      </c>
      <c r="G14" s="52">
        <f>'Ann 14'!G21</f>
        <v>4696262.8225522516</v>
      </c>
      <c r="H14" s="52">
        <f>'Ann 14'!H21</f>
        <v>5078187.4030084098</v>
      </c>
      <c r="I14" s="52">
        <f>'Ann 14'!I21</f>
        <v>5538085.5247953339</v>
      </c>
      <c r="J14" s="52">
        <f>'Ann 14'!J21</f>
        <v>6859092.5149288569</v>
      </c>
      <c r="K14" s="52">
        <f>'Ann 14'!K21</f>
        <v>8145468.4237888604</v>
      </c>
    </row>
    <row r="15" spans="1:11" x14ac:dyDescent="0.6">
      <c r="A15" s="22"/>
      <c r="B15" s="23" t="s">
        <v>123</v>
      </c>
      <c r="C15" s="50">
        <f t="shared" ref="C15:K15" si="2">SUM(C11:C14)</f>
        <v>12480667.665384617</v>
      </c>
      <c r="D15" s="49">
        <f t="shared" si="2"/>
        <v>12362817.620865386</v>
      </c>
      <c r="E15" s="53">
        <f t="shared" si="2"/>
        <v>12302141.416711541</v>
      </c>
      <c r="F15" s="53">
        <f t="shared" si="2"/>
        <v>12295794.808828078</v>
      </c>
      <c r="G15" s="53">
        <f t="shared" si="2"/>
        <v>12341282.986132251</v>
      </c>
      <c r="H15" s="53">
        <f t="shared" si="2"/>
        <v>12434017.240485009</v>
      </c>
      <c r="I15" s="53">
        <f t="shared" si="2"/>
        <v>12574282.204552716</v>
      </c>
      <c r="J15" s="53">
        <f t="shared" si="2"/>
        <v>13615921.21723295</v>
      </c>
      <c r="K15" s="53">
        <f t="shared" si="2"/>
        <v>14694804.031747863</v>
      </c>
    </row>
    <row r="16" spans="1:11" x14ac:dyDescent="0.6">
      <c r="A16" s="22"/>
      <c r="B16" s="23"/>
      <c r="C16" s="50"/>
      <c r="D16" s="49"/>
      <c r="E16" s="53"/>
      <c r="F16" s="53"/>
      <c r="G16" s="53"/>
      <c r="H16" s="53"/>
      <c r="I16" s="53"/>
      <c r="J16" s="53"/>
      <c r="K16" s="53"/>
    </row>
    <row r="17" spans="1:13" x14ac:dyDescent="0.6">
      <c r="A17" s="22" t="s">
        <v>142</v>
      </c>
      <c r="B17" s="54" t="s">
        <v>117</v>
      </c>
      <c r="C17" s="50"/>
      <c r="D17" s="9"/>
      <c r="E17" s="10"/>
      <c r="F17" s="10"/>
      <c r="G17" s="10"/>
      <c r="H17" s="10"/>
      <c r="I17" s="10"/>
      <c r="J17" s="10"/>
      <c r="K17" s="10"/>
    </row>
    <row r="18" spans="1:13" x14ac:dyDescent="0.6">
      <c r="A18" s="22">
        <v>1</v>
      </c>
      <c r="B18" s="23" t="s">
        <v>118</v>
      </c>
      <c r="C18" s="109">
        <f>'Ann 2'!C4*100000</f>
        <v>631000</v>
      </c>
      <c r="D18" s="52">
        <f>C21</f>
        <v>750821.51153846155</v>
      </c>
      <c r="E18" s="55">
        <f t="shared" ref="E18:K18" si="3">D21</f>
        <v>951279.15932692308</v>
      </c>
      <c r="F18" s="55">
        <f t="shared" si="3"/>
        <v>1208910.6474807693</v>
      </c>
      <c r="G18" s="55">
        <f t="shared" si="3"/>
        <v>1520871.7319049998</v>
      </c>
      <c r="H18" s="55">
        <f t="shared" si="3"/>
        <v>1884667.6015168652</v>
      </c>
      <c r="I18" s="55">
        <f t="shared" si="3"/>
        <v>2295709.5481773112</v>
      </c>
      <c r="J18" s="55">
        <f t="shared" si="3"/>
        <v>2754282.2045527073</v>
      </c>
      <c r="K18" s="55">
        <f t="shared" si="3"/>
        <v>3255921.2172329412</v>
      </c>
    </row>
    <row r="19" spans="1:13" x14ac:dyDescent="0.6">
      <c r="A19" s="22"/>
      <c r="B19" s="23" t="s">
        <v>119</v>
      </c>
      <c r="C19" s="109">
        <f>'Ann 4'!C38</f>
        <v>119821.51153846155</v>
      </c>
      <c r="D19" s="52">
        <f>'Ann 4'!D38</f>
        <v>200457.64778846153</v>
      </c>
      <c r="E19" s="55">
        <f>'Ann 4'!E38</f>
        <v>257631.48815384624</v>
      </c>
      <c r="F19" s="55">
        <f>'Ann 4'!F38</f>
        <v>311961.0844242305</v>
      </c>
      <c r="G19" s="55">
        <f>'Ann 4'!G38</f>
        <v>363795.86961186538</v>
      </c>
      <c r="H19" s="55">
        <f>'Ann 4'!H38</f>
        <v>411041.946660446</v>
      </c>
      <c r="I19" s="55">
        <f>'Ann 4'!I38</f>
        <v>458572.6563753963</v>
      </c>
      <c r="J19" s="55">
        <f>'Ann 4'!J38</f>
        <v>501639.01268023392</v>
      </c>
      <c r="K19" s="55">
        <f>'Ann 4'!K38</f>
        <v>538882.81451491453</v>
      </c>
    </row>
    <row r="20" spans="1:13" x14ac:dyDescent="0.6">
      <c r="A20" s="22"/>
      <c r="B20" s="23" t="s">
        <v>120</v>
      </c>
      <c r="C20" s="109">
        <v>0</v>
      </c>
      <c r="D20" s="52">
        <v>0</v>
      </c>
      <c r="E20" s="55">
        <v>0</v>
      </c>
      <c r="F20" s="55">
        <v>0</v>
      </c>
      <c r="G20" s="55">
        <v>0</v>
      </c>
      <c r="H20" s="55">
        <v>0</v>
      </c>
      <c r="I20" s="55">
        <v>0</v>
      </c>
      <c r="J20" s="55">
        <v>0</v>
      </c>
      <c r="K20" s="55">
        <v>0</v>
      </c>
    </row>
    <row r="21" spans="1:13" x14ac:dyDescent="0.6">
      <c r="A21" s="22"/>
      <c r="B21" s="23" t="s">
        <v>121</v>
      </c>
      <c r="C21" s="109">
        <f>C18+C19</f>
        <v>750821.51153846155</v>
      </c>
      <c r="D21" s="52">
        <f t="shared" ref="D21:K21" si="4">D18+D19</f>
        <v>951279.15932692308</v>
      </c>
      <c r="E21" s="55">
        <f t="shared" si="4"/>
        <v>1208910.6474807693</v>
      </c>
      <c r="F21" s="55">
        <f t="shared" si="4"/>
        <v>1520871.7319049998</v>
      </c>
      <c r="G21" s="55">
        <f t="shared" si="4"/>
        <v>1884667.6015168652</v>
      </c>
      <c r="H21" s="55">
        <f t="shared" si="4"/>
        <v>2295709.5481773112</v>
      </c>
      <c r="I21" s="55">
        <f t="shared" si="4"/>
        <v>2754282.2045527073</v>
      </c>
      <c r="J21" s="55">
        <f t="shared" si="4"/>
        <v>3255921.2172329412</v>
      </c>
      <c r="K21" s="55">
        <f t="shared" si="4"/>
        <v>3794804.0317478557</v>
      </c>
    </row>
    <row r="22" spans="1:13" x14ac:dyDescent="0.6">
      <c r="A22" s="22">
        <v>2</v>
      </c>
      <c r="B22" s="23" t="s">
        <v>28</v>
      </c>
      <c r="C22" s="109">
        <f>'Ann 13'!C13*100000</f>
        <v>5149846.1538461531</v>
      </c>
      <c r="D22" s="52">
        <f>'Ann 13'!C17*100000</f>
        <v>4291538.4615384601</v>
      </c>
      <c r="E22" s="52">
        <f>'Ann 13'!C21*100000</f>
        <v>3433230.7692307672</v>
      </c>
      <c r="F22" s="52">
        <f>'Ann 13'!C25*100000</f>
        <v>2574923.0769230742</v>
      </c>
      <c r="G22" s="55">
        <f>('Ann 13'!C28-'Ann 13'!D28)*100000</f>
        <v>1716615.3846153812</v>
      </c>
      <c r="H22" s="55">
        <f>('Ann 13'!C32-'Ann 13'!D32)*100000</f>
        <v>858307.69230768876</v>
      </c>
      <c r="I22" s="55">
        <v>0</v>
      </c>
      <c r="J22" s="55">
        <v>0</v>
      </c>
      <c r="K22" s="55">
        <v>0</v>
      </c>
    </row>
    <row r="23" spans="1:13" x14ac:dyDescent="0.6">
      <c r="A23" s="22">
        <v>3</v>
      </c>
      <c r="B23" s="51" t="s">
        <v>153</v>
      </c>
      <c r="C23" s="109">
        <f>'Ann 2'!$C$7*100000</f>
        <v>100000</v>
      </c>
      <c r="D23" s="52">
        <f>'Ann 2'!$C$7*100000</f>
        <v>100000</v>
      </c>
      <c r="E23" s="52">
        <f>'Ann 2'!$C$7*100000</f>
        <v>100000</v>
      </c>
      <c r="F23" s="52">
        <f>'Ann 2'!$C$7*100000</f>
        <v>100000</v>
      </c>
      <c r="G23" s="52">
        <f>'Ann 2'!$C$7*100000</f>
        <v>100000</v>
      </c>
      <c r="H23" s="52">
        <f>'Ann 2'!$C$7*100000</f>
        <v>100000</v>
      </c>
      <c r="I23" s="52">
        <f>'Ann 2'!$C$7*100000</f>
        <v>100000</v>
      </c>
      <c r="J23" s="52">
        <f>'Ann 2'!$C$7*100000</f>
        <v>100000</v>
      </c>
      <c r="K23" s="52">
        <f>'Ann 2'!$C$7*100000</f>
        <v>100000</v>
      </c>
    </row>
    <row r="24" spans="1:13" x14ac:dyDescent="0.6">
      <c r="A24" s="22">
        <v>4</v>
      </c>
      <c r="B24" s="51" t="s">
        <v>148</v>
      </c>
      <c r="C24" s="109">
        <f>('Ann 4'!C7)*90/150</f>
        <v>6480000</v>
      </c>
      <c r="D24" s="109">
        <f>('Ann 4'!D7)*90/150</f>
        <v>7020000</v>
      </c>
      <c r="E24" s="109">
        <f>('Ann 4'!E7)*90/150</f>
        <v>7560000</v>
      </c>
      <c r="F24" s="109">
        <f>('Ann 4'!F7)*90/150</f>
        <v>8100000</v>
      </c>
      <c r="G24" s="109">
        <f>('Ann 4'!G7)*90/150</f>
        <v>8640000</v>
      </c>
      <c r="H24" s="109">
        <f>('Ann 4'!H7)*90/150</f>
        <v>9180000</v>
      </c>
      <c r="I24" s="109">
        <f>('Ann 4'!I7)*90/150</f>
        <v>9720000</v>
      </c>
      <c r="J24" s="109">
        <f>('Ann 4'!J7)*90/150</f>
        <v>10260000</v>
      </c>
      <c r="K24" s="109">
        <f>('Ann 4'!K7)*90/150</f>
        <v>10800000</v>
      </c>
    </row>
    <row r="25" spans="1:13" x14ac:dyDescent="0.6">
      <c r="A25" s="22"/>
      <c r="B25" s="23" t="s">
        <v>122</v>
      </c>
      <c r="C25" s="50">
        <f t="shared" ref="C25:K25" si="5">SUM(C21:C24)</f>
        <v>12480667.665384615</v>
      </c>
      <c r="D25" s="49">
        <f t="shared" si="5"/>
        <v>12362817.620865382</v>
      </c>
      <c r="E25" s="49">
        <f t="shared" si="5"/>
        <v>12302141.416711535</v>
      </c>
      <c r="F25" s="49">
        <f t="shared" si="5"/>
        <v>12295794.808828074</v>
      </c>
      <c r="G25" s="49">
        <f t="shared" si="5"/>
        <v>12341282.986132246</v>
      </c>
      <c r="H25" s="49">
        <f t="shared" si="5"/>
        <v>12434017.240484999</v>
      </c>
      <c r="I25" s="49">
        <f t="shared" si="5"/>
        <v>12574282.204552706</v>
      </c>
      <c r="J25" s="49">
        <f t="shared" si="5"/>
        <v>13615921.217232941</v>
      </c>
      <c r="K25" s="49">
        <f t="shared" si="5"/>
        <v>14694804.031747855</v>
      </c>
    </row>
    <row r="26" spans="1:13" x14ac:dyDescent="0.6">
      <c r="A26" s="22"/>
      <c r="B26" s="23"/>
      <c r="C26" s="50"/>
      <c r="D26" s="50"/>
      <c r="E26" s="50"/>
      <c r="F26" s="50"/>
      <c r="G26" s="50"/>
      <c r="H26" s="50"/>
      <c r="I26" s="50"/>
      <c r="J26" s="50"/>
      <c r="K26" s="50"/>
      <c r="L26" s="56"/>
      <c r="M26" s="23"/>
    </row>
    <row r="27" spans="1:13" x14ac:dyDescent="0.6">
      <c r="A27" s="62"/>
      <c r="B27" s="63" t="s">
        <v>124</v>
      </c>
      <c r="C27" s="64"/>
      <c r="D27" s="64"/>
      <c r="E27" s="65"/>
      <c r="F27" s="65"/>
      <c r="G27" s="65"/>
      <c r="H27" s="65"/>
      <c r="I27" s="65"/>
      <c r="J27" s="65"/>
      <c r="K27" s="65"/>
    </row>
    <row r="28" spans="1:13" x14ac:dyDescent="0.6">
      <c r="A28" s="22"/>
      <c r="B28" s="23" t="s">
        <v>125</v>
      </c>
      <c r="C28" s="49">
        <f t="shared" ref="C28:K28" si="6">SUM(C12:C14)</f>
        <v>7210667.6653846158</v>
      </c>
      <c r="D28" s="49">
        <f t="shared" si="6"/>
        <v>7883317.620865386</v>
      </c>
      <c r="E28" s="53">
        <f t="shared" si="6"/>
        <v>8494566.4167115409</v>
      </c>
      <c r="F28" s="53">
        <f t="shared" si="6"/>
        <v>9059356.0588280782</v>
      </c>
      <c r="G28" s="53">
        <f t="shared" si="6"/>
        <v>9590310.0486322511</v>
      </c>
      <c r="H28" s="53">
        <f t="shared" si="6"/>
        <v>10095690.24361001</v>
      </c>
      <c r="I28" s="53">
        <f t="shared" si="6"/>
        <v>10586704.257208966</v>
      </c>
      <c r="J28" s="53">
        <f t="shared" si="6"/>
        <v>11926479.961990763</v>
      </c>
      <c r="K28" s="53">
        <f t="shared" si="6"/>
        <v>13258778.964792004</v>
      </c>
    </row>
    <row r="29" spans="1:13" x14ac:dyDescent="0.6">
      <c r="A29" s="22"/>
      <c r="B29" s="23" t="s">
        <v>126</v>
      </c>
      <c r="C29" s="49">
        <f>C24+C23</f>
        <v>6580000</v>
      </c>
      <c r="D29" s="49">
        <f t="shared" ref="D29:K29" si="7">D24+D23</f>
        <v>7120000</v>
      </c>
      <c r="E29" s="49">
        <f t="shared" si="7"/>
        <v>7660000</v>
      </c>
      <c r="F29" s="49">
        <f t="shared" si="7"/>
        <v>8200000</v>
      </c>
      <c r="G29" s="49">
        <f t="shared" si="7"/>
        <v>8740000</v>
      </c>
      <c r="H29" s="49">
        <f t="shared" si="7"/>
        <v>9280000</v>
      </c>
      <c r="I29" s="49">
        <f t="shared" si="7"/>
        <v>9820000</v>
      </c>
      <c r="J29" s="49">
        <f t="shared" si="7"/>
        <v>10360000</v>
      </c>
      <c r="K29" s="49">
        <f t="shared" si="7"/>
        <v>10900000</v>
      </c>
    </row>
    <row r="30" spans="1:13" x14ac:dyDescent="0.6">
      <c r="A30" s="22"/>
      <c r="B30" s="23" t="s">
        <v>130</v>
      </c>
      <c r="C30" s="9">
        <f>C28/C29</f>
        <v>1.0958461497545009</v>
      </c>
      <c r="D30" s="9">
        <f>D28/D29</f>
        <v>1.1072075310204195</v>
      </c>
      <c r="E30" s="10">
        <f t="shared" ref="E30:K30" si="8">E28/E29</f>
        <v>1.1089512293357102</v>
      </c>
      <c r="F30" s="10">
        <f t="shared" si="8"/>
        <v>1.1047995193692779</v>
      </c>
      <c r="G30" s="10">
        <f t="shared" si="8"/>
        <v>1.0972894792485413</v>
      </c>
      <c r="H30" s="10">
        <f t="shared" si="8"/>
        <v>1.0878976555614235</v>
      </c>
      <c r="I30" s="10">
        <f t="shared" si="8"/>
        <v>1.0780757899398132</v>
      </c>
      <c r="J30" s="10">
        <f t="shared" si="8"/>
        <v>1.1512046295357878</v>
      </c>
      <c r="K30" s="10">
        <f t="shared" si="8"/>
        <v>1.2164017398891747</v>
      </c>
    </row>
    <row r="31" spans="1:13" x14ac:dyDescent="0.6">
      <c r="A31" s="22"/>
      <c r="B31" s="51" t="s">
        <v>143</v>
      </c>
      <c r="C31" s="9"/>
      <c r="D31" s="9"/>
      <c r="E31" s="10"/>
      <c r="F31" s="10">
        <f>AVERAGE(C30:K30)</f>
        <v>1.1164081915171833</v>
      </c>
      <c r="G31" s="10"/>
      <c r="H31" s="10"/>
      <c r="I31" s="10"/>
      <c r="J31" s="10"/>
      <c r="K31" s="10"/>
    </row>
    <row r="32" spans="1:13" x14ac:dyDescent="0.6">
      <c r="A32" s="22"/>
      <c r="B32" s="23"/>
      <c r="C32" s="9"/>
      <c r="D32" s="9"/>
      <c r="E32" s="10"/>
      <c r="F32" s="10"/>
      <c r="G32" s="10"/>
      <c r="H32" s="10"/>
      <c r="I32" s="10"/>
      <c r="J32" s="10"/>
      <c r="K32" s="10"/>
    </row>
    <row r="33" spans="1:11" x14ac:dyDescent="0.6">
      <c r="A33" s="62"/>
      <c r="B33" s="63" t="s">
        <v>127</v>
      </c>
      <c r="C33" s="64"/>
      <c r="D33" s="64"/>
      <c r="E33" s="65"/>
      <c r="F33" s="65"/>
      <c r="G33" s="65"/>
      <c r="H33" s="65"/>
      <c r="I33" s="65"/>
      <c r="J33" s="65"/>
      <c r="K33" s="65"/>
    </row>
    <row r="34" spans="1:11" x14ac:dyDescent="0.6">
      <c r="A34" s="22"/>
      <c r="B34" s="23" t="s">
        <v>128</v>
      </c>
      <c r="C34" s="49">
        <f>C22+C23</f>
        <v>5249846.1538461531</v>
      </c>
      <c r="D34" s="49">
        <f t="shared" ref="D34:K34" si="9">D22+D23</f>
        <v>4391538.4615384601</v>
      </c>
      <c r="E34" s="49">
        <f t="shared" si="9"/>
        <v>3533230.7692307672</v>
      </c>
      <c r="F34" s="49">
        <f t="shared" si="9"/>
        <v>2674923.0769230742</v>
      </c>
      <c r="G34" s="49">
        <f t="shared" si="9"/>
        <v>1816615.3846153812</v>
      </c>
      <c r="H34" s="49">
        <f t="shared" si="9"/>
        <v>958307.69230768876</v>
      </c>
      <c r="I34" s="49">
        <f t="shared" si="9"/>
        <v>100000</v>
      </c>
      <c r="J34" s="49">
        <f t="shared" si="9"/>
        <v>100000</v>
      </c>
      <c r="K34" s="49">
        <f t="shared" si="9"/>
        <v>100000</v>
      </c>
    </row>
    <row r="35" spans="1:11" x14ac:dyDescent="0.6">
      <c r="A35" s="22"/>
      <c r="B35" s="23" t="s">
        <v>129</v>
      </c>
      <c r="C35" s="49">
        <f t="shared" ref="C35:K35" si="10">C21</f>
        <v>750821.51153846155</v>
      </c>
      <c r="D35" s="49">
        <f t="shared" si="10"/>
        <v>951279.15932692308</v>
      </c>
      <c r="E35" s="53">
        <f t="shared" si="10"/>
        <v>1208910.6474807693</v>
      </c>
      <c r="F35" s="53">
        <f t="shared" si="10"/>
        <v>1520871.7319049998</v>
      </c>
      <c r="G35" s="53">
        <f t="shared" si="10"/>
        <v>1884667.6015168652</v>
      </c>
      <c r="H35" s="53">
        <f t="shared" si="10"/>
        <v>2295709.5481773112</v>
      </c>
      <c r="I35" s="53">
        <f t="shared" si="10"/>
        <v>2754282.2045527073</v>
      </c>
      <c r="J35" s="53">
        <f t="shared" si="10"/>
        <v>3255921.2172329412</v>
      </c>
      <c r="K35" s="53">
        <f t="shared" si="10"/>
        <v>3794804.0317478557</v>
      </c>
    </row>
    <row r="36" spans="1:11" x14ac:dyDescent="0.6">
      <c r="A36" s="22"/>
      <c r="B36" s="23" t="s">
        <v>130</v>
      </c>
      <c r="C36" s="9">
        <f>C34/C35</f>
        <v>6.9921360445427574</v>
      </c>
      <c r="D36" s="9">
        <f t="shared" ref="D36:K36" si="11">D34/D35</f>
        <v>4.6164560828239845</v>
      </c>
      <c r="E36" s="10">
        <f t="shared" si="11"/>
        <v>2.9226566716023337</v>
      </c>
      <c r="F36" s="10">
        <f t="shared" si="11"/>
        <v>1.7588091229577547</v>
      </c>
      <c r="G36" s="10">
        <f t="shared" si="11"/>
        <v>0.96389166087074851</v>
      </c>
      <c r="H36" s="10">
        <f t="shared" si="11"/>
        <v>0.41743420593800351</v>
      </c>
      <c r="I36" s="10">
        <f t="shared" si="11"/>
        <v>3.6307100207344185E-2</v>
      </c>
      <c r="J36" s="10">
        <f t="shared" si="11"/>
        <v>3.0713273856480299E-2</v>
      </c>
      <c r="K36" s="10">
        <f t="shared" si="11"/>
        <v>2.6351821902629531E-2</v>
      </c>
    </row>
    <row r="37" spans="1:11" x14ac:dyDescent="0.6">
      <c r="A37" s="22"/>
      <c r="B37" s="51" t="s">
        <v>143</v>
      </c>
      <c r="C37" s="9"/>
      <c r="D37" s="9"/>
      <c r="E37" s="10"/>
      <c r="F37" s="10">
        <f>AVERAGE(C36:K36)</f>
        <v>1.9738617760780039</v>
      </c>
      <c r="G37" s="10"/>
      <c r="H37" s="10"/>
      <c r="I37" s="53"/>
      <c r="J37" s="53"/>
      <c r="K37" s="53"/>
    </row>
    <row r="38" spans="1:11" x14ac:dyDescent="0.6">
      <c r="A38" s="22"/>
      <c r="B38" s="23"/>
      <c r="C38" s="9"/>
      <c r="D38" s="9"/>
      <c r="E38" s="10"/>
      <c r="F38" s="10"/>
      <c r="G38" s="10"/>
      <c r="H38" s="10"/>
      <c r="I38" s="53"/>
      <c r="J38" s="53"/>
      <c r="K38" s="53"/>
    </row>
    <row r="39" spans="1:11" x14ac:dyDescent="0.6">
      <c r="A39" s="62"/>
      <c r="B39" s="63" t="s">
        <v>144</v>
      </c>
      <c r="C39" s="64"/>
      <c r="D39" s="64"/>
      <c r="E39" s="65"/>
      <c r="F39" s="65"/>
      <c r="G39" s="65"/>
      <c r="H39" s="65"/>
      <c r="I39" s="66"/>
      <c r="J39" s="66"/>
      <c r="K39" s="66"/>
    </row>
    <row r="40" spans="1:11" x14ac:dyDescent="0.6">
      <c r="A40" s="22"/>
      <c r="B40" s="51" t="s">
        <v>145</v>
      </c>
      <c r="C40" s="49">
        <f t="shared" ref="C40:K40" si="12">C11</f>
        <v>5270000</v>
      </c>
      <c r="D40" s="49">
        <f t="shared" si="12"/>
        <v>4479500</v>
      </c>
      <c r="E40" s="49">
        <f t="shared" si="12"/>
        <v>3807575</v>
      </c>
      <c r="F40" s="49">
        <f t="shared" si="12"/>
        <v>3236438.75</v>
      </c>
      <c r="G40" s="49">
        <f t="shared" si="12"/>
        <v>2750972.9375</v>
      </c>
      <c r="H40" s="49">
        <f t="shared" si="12"/>
        <v>2338326.9968750002</v>
      </c>
      <c r="I40" s="49">
        <f t="shared" si="12"/>
        <v>1987577.9473437502</v>
      </c>
      <c r="J40" s="49">
        <f t="shared" si="12"/>
        <v>1689441.2552421875</v>
      </c>
      <c r="K40" s="49">
        <f t="shared" si="12"/>
        <v>1436025.0669558593</v>
      </c>
    </row>
    <row r="41" spans="1:11" x14ac:dyDescent="0.6">
      <c r="A41" s="22"/>
      <c r="B41" s="51" t="s">
        <v>128</v>
      </c>
      <c r="C41" s="49">
        <f t="shared" ref="C41:K41" si="13">C22+C23</f>
        <v>5249846.1538461531</v>
      </c>
      <c r="D41" s="49">
        <f t="shared" si="13"/>
        <v>4391538.4615384601</v>
      </c>
      <c r="E41" s="49">
        <f t="shared" si="13"/>
        <v>3533230.7692307672</v>
      </c>
      <c r="F41" s="49">
        <f t="shared" si="13"/>
        <v>2674923.0769230742</v>
      </c>
      <c r="G41" s="49">
        <f t="shared" si="13"/>
        <v>1816615.3846153812</v>
      </c>
      <c r="H41" s="49">
        <f t="shared" si="13"/>
        <v>958307.69230768876</v>
      </c>
      <c r="I41" s="49">
        <f t="shared" si="13"/>
        <v>100000</v>
      </c>
      <c r="J41" s="49">
        <f t="shared" si="13"/>
        <v>100000</v>
      </c>
      <c r="K41" s="49">
        <f t="shared" si="13"/>
        <v>100000</v>
      </c>
    </row>
    <row r="42" spans="1:11" x14ac:dyDescent="0.6">
      <c r="A42" s="22"/>
      <c r="B42" s="51" t="s">
        <v>139</v>
      </c>
      <c r="C42" s="9">
        <f>C40/C41</f>
        <v>1.0038389403352481</v>
      </c>
      <c r="D42" s="9">
        <f t="shared" ref="D42:K42" si="14">D40/D41</f>
        <v>1.0200297775442289</v>
      </c>
      <c r="E42" s="9">
        <f t="shared" si="14"/>
        <v>1.0776468475137166</v>
      </c>
      <c r="F42" s="9">
        <f t="shared" si="14"/>
        <v>1.2099184376258136</v>
      </c>
      <c r="G42" s="9">
        <f t="shared" si="14"/>
        <v>1.5143397775872318</v>
      </c>
      <c r="H42" s="9">
        <f t="shared" si="14"/>
        <v>2.4400586738942942</v>
      </c>
      <c r="I42" s="9">
        <f t="shared" si="14"/>
        <v>19.8757794734375</v>
      </c>
      <c r="J42" s="9">
        <f t="shared" si="14"/>
        <v>16.894412552421876</v>
      </c>
      <c r="K42" s="9">
        <f t="shared" si="14"/>
        <v>14.360250669558592</v>
      </c>
    </row>
    <row r="43" spans="1:11" x14ac:dyDescent="0.6">
      <c r="A43" s="22"/>
      <c r="B43" s="51"/>
      <c r="C43" s="9"/>
      <c r="D43" s="9"/>
      <c r="E43" s="10"/>
      <c r="F43" s="10">
        <f>AVERAGE(C42:H42)</f>
        <v>1.3776387424167555</v>
      </c>
      <c r="G43" s="10"/>
      <c r="H43" s="10"/>
      <c r="I43" s="10"/>
      <c r="J43" s="10"/>
      <c r="K43" s="10"/>
    </row>
    <row r="44" spans="1:11" x14ac:dyDescent="0.6">
      <c r="A44" s="22"/>
      <c r="B44" s="23"/>
      <c r="C44" s="9"/>
      <c r="D44" s="9"/>
      <c r="E44" s="10"/>
      <c r="F44" s="10"/>
      <c r="G44" s="10"/>
      <c r="H44" s="10"/>
      <c r="I44" s="53"/>
      <c r="J44" s="53"/>
      <c r="K44" s="53"/>
    </row>
    <row r="45" spans="1:11" x14ac:dyDescent="0.6">
      <c r="A45" s="62"/>
      <c r="B45" s="63" t="s">
        <v>136</v>
      </c>
      <c r="C45" s="64"/>
      <c r="D45" s="64"/>
      <c r="E45" s="65"/>
      <c r="F45" s="65"/>
      <c r="G45" s="65"/>
      <c r="H45" s="65"/>
      <c r="I45" s="66"/>
      <c r="J45" s="66"/>
      <c r="K45" s="66"/>
    </row>
    <row r="46" spans="1:11" x14ac:dyDescent="0.6">
      <c r="A46" s="22"/>
      <c r="B46" s="23" t="s">
        <v>137</v>
      </c>
      <c r="C46" s="52">
        <f>'Ann 4'!C29</f>
        <v>341521.34615384613</v>
      </c>
      <c r="D46" s="52">
        <f>'Ann 4'!D29</f>
        <v>299678.84615384607</v>
      </c>
      <c r="E46" s="52">
        <f>'Ann 4'!E29</f>
        <v>248180.38461538454</v>
      </c>
      <c r="F46" s="52">
        <f>'Ann 4'!F29</f>
        <v>196681.92307692292</v>
      </c>
      <c r="G46" s="52">
        <f>'Ann 4'!G29</f>
        <v>145183.46153846136</v>
      </c>
      <c r="H46" s="52">
        <f>'Ann 4'!H29</f>
        <v>93684.999999999782</v>
      </c>
      <c r="I46" s="52">
        <f>'Ann 4'!I29</f>
        <v>42186.538461538243</v>
      </c>
      <c r="J46" s="52">
        <f>'Ann 4'!J29</f>
        <v>10000</v>
      </c>
      <c r="K46" s="52">
        <f>'Ann 4'!K29</f>
        <v>10000</v>
      </c>
    </row>
    <row r="47" spans="1:11" x14ac:dyDescent="0.6">
      <c r="A47" s="22"/>
      <c r="B47" s="23" t="s">
        <v>140</v>
      </c>
      <c r="C47" s="52">
        <f>(SUM('Ann 13'!D9:D12)*100000)+('Ann 1'!$C$25*100000)</f>
        <v>529153.84615384624</v>
      </c>
      <c r="D47" s="52">
        <f>(SUM('Ann 13'!D13:D16)*100000)+('Ann 1'!$C$25*100000)</f>
        <v>958307.69230769237</v>
      </c>
      <c r="E47" s="52">
        <f>(SUM('Ann 13'!D17:D20)*100000)+('Ann 1'!$C$25*100000)</f>
        <v>958307.69230769237</v>
      </c>
      <c r="F47" s="52">
        <f>(SUM('Ann 13'!D21:D24)*100000)+('Ann 1'!$C$25*100000)</f>
        <v>958307.69230769237</v>
      </c>
      <c r="G47" s="52">
        <f>(SUM('Ann 13'!D25:D28)*100000)+('Ann 1'!$C$25*100000)</f>
        <v>958307.69230769237</v>
      </c>
      <c r="H47" s="52">
        <f>(SUM('Ann 13'!D29:D32)*100000)+('Ann 1'!$C$25*100000)</f>
        <v>958307.69230769237</v>
      </c>
      <c r="I47" s="52">
        <f>(SUM('Ann 13'!D33:D36)*100000)+('Ann 1'!$C$25*100000)</f>
        <v>958307.69230768899</v>
      </c>
      <c r="J47" s="52">
        <f>(SUM('Ann 13'!D37:D37)*100000)+('Ann 1'!$C$25*100000)</f>
        <v>100000</v>
      </c>
      <c r="K47" s="52">
        <f>(SUM('Ann 13'!D38:D39)*100000)+('Ann 1'!$C$25*100000)</f>
        <v>100000</v>
      </c>
    </row>
    <row r="48" spans="1:11" x14ac:dyDescent="0.6">
      <c r="A48" s="22"/>
      <c r="B48" s="23" t="s">
        <v>249</v>
      </c>
      <c r="C48" s="52">
        <f>SUM(C46:C47)</f>
        <v>870675.19230769237</v>
      </c>
      <c r="D48" s="52">
        <f t="shared" ref="D48:K48" si="15">SUM(D46:D47)</f>
        <v>1257986.5384615385</v>
      </c>
      <c r="E48" s="55">
        <f t="shared" si="15"/>
        <v>1206488.076923077</v>
      </c>
      <c r="F48" s="55">
        <f t="shared" si="15"/>
        <v>1154989.6153846153</v>
      </c>
      <c r="G48" s="55">
        <f t="shared" si="15"/>
        <v>1103491.1538461538</v>
      </c>
      <c r="H48" s="55">
        <f t="shared" si="15"/>
        <v>1051992.6923076923</v>
      </c>
      <c r="I48" s="55">
        <f t="shared" si="15"/>
        <v>1000494.2307692273</v>
      </c>
      <c r="J48" s="55">
        <f t="shared" si="15"/>
        <v>110000</v>
      </c>
      <c r="K48" s="55">
        <f t="shared" si="15"/>
        <v>110000</v>
      </c>
    </row>
    <row r="49" spans="1:11" x14ac:dyDescent="0.6">
      <c r="A49" s="22"/>
      <c r="B49" s="23" t="s">
        <v>138</v>
      </c>
      <c r="C49" s="52">
        <f>'Ann 4'!C24</f>
        <v>2141675</v>
      </c>
      <c r="D49" s="52">
        <f>'Ann 4'!D24</f>
        <v>2522019.1875</v>
      </c>
      <c r="E49" s="55">
        <f>'Ann 4'!E24</f>
        <v>2760330.3000000007</v>
      </c>
      <c r="F49" s="55">
        <f>'Ann 4'!F24</f>
        <v>2996111.6332499986</v>
      </c>
      <c r="G49" s="55">
        <f>'Ann 4'!G24</f>
        <v>3229191.1998375002</v>
      </c>
      <c r="H49" s="55">
        <f>'Ann 4'!H24</f>
        <v>3442344.8453424722</v>
      </c>
      <c r="I49" s="55">
        <f>'Ann 4'!I24</f>
        <v>3668454.562102763</v>
      </c>
      <c r="J49" s="55">
        <f>'Ann 4'!J24</f>
        <v>3891272.4969603764</v>
      </c>
      <c r="K49" s="55">
        <f>'Ann 4'!K24</f>
        <v>4112579.1491071456</v>
      </c>
    </row>
    <row r="50" spans="1:11" x14ac:dyDescent="0.6">
      <c r="A50" s="57"/>
      <c r="B50" s="58" t="s">
        <v>130</v>
      </c>
      <c r="C50" s="59">
        <f>C49/C48</f>
        <v>2.4597864036111674</v>
      </c>
      <c r="D50" s="59">
        <f t="shared" ref="D50:K50" si="16">D49/D48</f>
        <v>2.0048061806641564</v>
      </c>
      <c r="E50" s="60">
        <f t="shared" si="16"/>
        <v>2.2879051627594271</v>
      </c>
      <c r="F50" s="60">
        <f t="shared" si="16"/>
        <v>2.594059369315008</v>
      </c>
      <c r="G50" s="60">
        <f t="shared" si="16"/>
        <v>2.9263408125949568</v>
      </c>
      <c r="H50" s="60">
        <f t="shared" si="16"/>
        <v>3.272213647978115</v>
      </c>
      <c r="I50" s="60">
        <f t="shared" si="16"/>
        <v>3.6666423946115927</v>
      </c>
      <c r="J50" s="60">
        <f t="shared" si="16"/>
        <v>35.375204517821601</v>
      </c>
      <c r="K50" s="60">
        <f t="shared" si="16"/>
        <v>37.387083173701321</v>
      </c>
    </row>
    <row r="51" spans="1:11" x14ac:dyDescent="0.6">
      <c r="A51" s="51"/>
      <c r="B51" s="51" t="s">
        <v>143</v>
      </c>
      <c r="C51" s="51"/>
      <c r="D51" s="51"/>
      <c r="E51" s="51"/>
      <c r="F51" s="51">
        <f>AVERAGE(C50:G50)</f>
        <v>2.454579585788943</v>
      </c>
      <c r="G51" s="51"/>
      <c r="H51" s="51"/>
      <c r="I51" s="51"/>
      <c r="J51" s="51"/>
      <c r="K51" s="51"/>
    </row>
    <row r="52" spans="1:11" x14ac:dyDescent="0.6">
      <c r="I52" s="41"/>
      <c r="J52" s="41"/>
      <c r="K52" s="41"/>
    </row>
    <row r="54" spans="1:11" x14ac:dyDescent="0.6">
      <c r="A54" s="2" t="s">
        <v>230</v>
      </c>
    </row>
    <row r="55" spans="1:11" x14ac:dyDescent="0.6">
      <c r="A55" s="2" t="s">
        <v>238</v>
      </c>
    </row>
  </sheetData>
  <mergeCells count="3">
    <mergeCell ref="A5:A6"/>
    <mergeCell ref="B5:B6"/>
    <mergeCell ref="C5:K5"/>
  </mergeCells>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A480-223F-4A3F-891A-2F2B726FC76B}">
  <dimension ref="A1:C12"/>
  <sheetViews>
    <sheetView workbookViewId="0"/>
  </sheetViews>
  <sheetFormatPr defaultRowHeight="17" x14ac:dyDescent="0.6"/>
  <cols>
    <col min="1" max="1" width="53.453125" style="2" bestFit="1" customWidth="1"/>
    <col min="2" max="2" width="9.90625" style="2" customWidth="1"/>
    <col min="3" max="3" width="11.1796875" style="2" bestFit="1" customWidth="1"/>
    <col min="4" max="4" width="12.54296875" style="2" bestFit="1" customWidth="1"/>
    <col min="5" max="16384" width="8.7265625" style="2"/>
  </cols>
  <sheetData>
    <row r="1" spans="1:3" x14ac:dyDescent="0.6">
      <c r="A1" s="1" t="s">
        <v>274</v>
      </c>
    </row>
    <row r="3" spans="1:3" x14ac:dyDescent="0.6">
      <c r="A3" s="135" t="s">
        <v>259</v>
      </c>
      <c r="B3" s="135"/>
      <c r="C3" s="135"/>
    </row>
    <row r="5" spans="1:3" x14ac:dyDescent="0.6">
      <c r="A5" s="1" t="s">
        <v>210</v>
      </c>
    </row>
    <row r="6" spans="1:3" x14ac:dyDescent="0.6">
      <c r="A6" s="2" t="s">
        <v>267</v>
      </c>
      <c r="C6" s="2">
        <v>86</v>
      </c>
    </row>
    <row r="7" spans="1:3" x14ac:dyDescent="0.6">
      <c r="A7" s="2" t="s">
        <v>268</v>
      </c>
      <c r="C7" s="2">
        <v>2100</v>
      </c>
    </row>
    <row r="8" spans="1:3" x14ac:dyDescent="0.6">
      <c r="A8" s="2" t="s">
        <v>269</v>
      </c>
      <c r="C8" s="2">
        <f>Budgets!B14</f>
        <v>7.5</v>
      </c>
    </row>
    <row r="9" spans="1:3" x14ac:dyDescent="0.6">
      <c r="A9" s="2" t="s">
        <v>270</v>
      </c>
      <c r="C9" s="2">
        <v>4</v>
      </c>
    </row>
    <row r="10" spans="1:3" x14ac:dyDescent="0.6">
      <c r="A10" s="2" t="s">
        <v>271</v>
      </c>
      <c r="C10" s="2">
        <f>C7*2/C9</f>
        <v>1050</v>
      </c>
    </row>
    <row r="11" spans="1:3" x14ac:dyDescent="0.6">
      <c r="A11" s="2" t="s">
        <v>272</v>
      </c>
      <c r="C11" s="2">
        <f>C10*C6</f>
        <v>90300</v>
      </c>
    </row>
    <row r="12" spans="1:3" x14ac:dyDescent="0.6">
      <c r="A12" s="2" t="s">
        <v>273</v>
      </c>
      <c r="C12" s="2">
        <f>C11/Budgets!B13</f>
        <v>7525</v>
      </c>
    </row>
  </sheetData>
  <mergeCells count="1">
    <mergeCell ref="A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1FBF-6FFA-405B-9A95-302F8FAA33B6}">
  <dimension ref="A1:E15"/>
  <sheetViews>
    <sheetView workbookViewId="0">
      <selection activeCell="E8" sqref="E8"/>
    </sheetView>
  </sheetViews>
  <sheetFormatPr defaultRowHeight="17" x14ac:dyDescent="0.6"/>
  <cols>
    <col min="1" max="1" width="5.6328125" style="2" bestFit="1" customWidth="1"/>
    <col min="2" max="2" width="26.08984375" style="2" bestFit="1" customWidth="1"/>
    <col min="3" max="3" width="8.7265625" style="2"/>
    <col min="4" max="4" width="25" style="2" bestFit="1" customWidth="1"/>
    <col min="5" max="5" width="12.54296875" style="2" bestFit="1" customWidth="1"/>
    <col min="6" max="16384" width="8.7265625" style="2"/>
  </cols>
  <sheetData>
    <row r="1" spans="1:5" x14ac:dyDescent="0.6">
      <c r="A1" s="1" t="s">
        <v>246</v>
      </c>
    </row>
    <row r="3" spans="1:5" x14ac:dyDescent="0.6">
      <c r="A3" s="67" t="s">
        <v>147</v>
      </c>
    </row>
    <row r="5" spans="1:5" x14ac:dyDescent="0.6">
      <c r="A5" s="6" t="s">
        <v>51</v>
      </c>
      <c r="B5" s="6" t="s">
        <v>52</v>
      </c>
      <c r="C5" s="6" t="s">
        <v>53</v>
      </c>
      <c r="D5" s="6" t="s">
        <v>54</v>
      </c>
      <c r="E5" s="6" t="s">
        <v>207</v>
      </c>
    </row>
    <row r="6" spans="1:5" x14ac:dyDescent="0.6">
      <c r="A6" s="43" t="s">
        <v>55</v>
      </c>
      <c r="B6" s="30" t="s">
        <v>275</v>
      </c>
      <c r="C6" s="30">
        <v>2</v>
      </c>
      <c r="D6" s="42">
        <v>40000</v>
      </c>
      <c r="E6" s="42">
        <f>D6*C6*3</f>
        <v>240000</v>
      </c>
    </row>
    <row r="7" spans="1:5" x14ac:dyDescent="0.6">
      <c r="A7" s="30" t="s">
        <v>56</v>
      </c>
      <c r="B7" s="30" t="s">
        <v>284</v>
      </c>
      <c r="C7" s="30">
        <v>2</v>
      </c>
      <c r="D7" s="42">
        <v>15000</v>
      </c>
      <c r="E7" s="42">
        <f>D7*C7*3</f>
        <v>90000</v>
      </c>
    </row>
    <row r="8" spans="1:5" x14ac:dyDescent="0.6">
      <c r="A8" s="136" t="s">
        <v>8</v>
      </c>
      <c r="B8" s="136"/>
      <c r="C8" s="136"/>
      <c r="D8" s="136"/>
      <c r="E8" s="68">
        <f>SUM(E6:E7)</f>
        <v>330000</v>
      </c>
    </row>
    <row r="9" spans="1:5" x14ac:dyDescent="0.6">
      <c r="A9" s="33"/>
      <c r="B9" s="69"/>
      <c r="C9" s="69"/>
      <c r="D9" s="69"/>
      <c r="E9" s="48"/>
    </row>
    <row r="10" spans="1:5" x14ac:dyDescent="0.6">
      <c r="A10" s="57" t="s">
        <v>244</v>
      </c>
      <c r="B10" s="58"/>
      <c r="C10" s="58"/>
      <c r="D10" s="58"/>
      <c r="E10" s="70">
        <f>E8*30%</f>
        <v>99000</v>
      </c>
    </row>
    <row r="11" spans="1:5" x14ac:dyDescent="0.6">
      <c r="A11" s="27" t="s">
        <v>8</v>
      </c>
      <c r="B11" s="28"/>
      <c r="C11" s="28"/>
      <c r="D11" s="28"/>
      <c r="E11" s="71">
        <f>SUM(E8:E10)</f>
        <v>429000</v>
      </c>
    </row>
    <row r="13" spans="1:5" x14ac:dyDescent="0.6">
      <c r="A13" s="2" t="s">
        <v>57</v>
      </c>
      <c r="E13" s="41">
        <f>E11</f>
        <v>429000</v>
      </c>
    </row>
    <row r="14" spans="1:5" x14ac:dyDescent="0.6">
      <c r="A14" s="2" t="s">
        <v>58</v>
      </c>
      <c r="E14" s="72">
        <v>7.0000000000000007E-2</v>
      </c>
    </row>
    <row r="15" spans="1:5" x14ac:dyDescent="0.6">
      <c r="A15" s="2" t="s">
        <v>149</v>
      </c>
      <c r="E15" s="2">
        <f>SUM(C6:C7)</f>
        <v>4</v>
      </c>
    </row>
  </sheetData>
  <mergeCells count="1">
    <mergeCell ref="A8:D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6B57-BA66-499F-8B17-ED356988118B}">
  <dimension ref="A1:F22"/>
  <sheetViews>
    <sheetView workbookViewId="0">
      <selection activeCell="A2" sqref="A2"/>
    </sheetView>
  </sheetViews>
  <sheetFormatPr defaultRowHeight="17" x14ac:dyDescent="0.6"/>
  <cols>
    <col min="1" max="1" width="6.36328125" style="2" bestFit="1" customWidth="1"/>
    <col min="2" max="2" width="18.81640625" style="2" bestFit="1" customWidth="1"/>
    <col min="3" max="3" width="19.453125" style="2" bestFit="1" customWidth="1"/>
    <col min="4" max="4" width="18.08984375" style="2" bestFit="1" customWidth="1"/>
    <col min="5" max="5" width="14.453125" style="2" bestFit="1" customWidth="1"/>
    <col min="6" max="6" width="26.453125" style="2" bestFit="1" customWidth="1"/>
    <col min="7" max="16384" width="8.7265625" style="2"/>
  </cols>
  <sheetData>
    <row r="1" spans="1:6" x14ac:dyDescent="0.6">
      <c r="A1" s="1" t="s">
        <v>61</v>
      </c>
    </row>
    <row r="3" spans="1:6" x14ac:dyDescent="0.6">
      <c r="A3" s="67" t="s">
        <v>60</v>
      </c>
    </row>
    <row r="5" spans="1:6" x14ac:dyDescent="0.6">
      <c r="A5" s="6" t="s">
        <v>24</v>
      </c>
      <c r="B5" s="6" t="s">
        <v>3</v>
      </c>
      <c r="C5" s="6" t="s">
        <v>252</v>
      </c>
      <c r="D5" s="6" t="s">
        <v>11</v>
      </c>
      <c r="E5" s="6" t="s">
        <v>64</v>
      </c>
      <c r="F5" s="6" t="s">
        <v>65</v>
      </c>
    </row>
    <row r="6" spans="1:6" x14ac:dyDescent="0.6">
      <c r="A6" s="30" t="s">
        <v>55</v>
      </c>
      <c r="B6" s="30" t="s">
        <v>13</v>
      </c>
      <c r="C6" s="42">
        <f>'Ann 1'!C15*100000</f>
        <v>0</v>
      </c>
      <c r="D6" s="42">
        <f>('Ann 1'!C20)*100000</f>
        <v>6200000</v>
      </c>
      <c r="E6" s="42">
        <v>0</v>
      </c>
      <c r="F6" s="73">
        <f>SUM(C6:E6)/100000</f>
        <v>62</v>
      </c>
    </row>
    <row r="7" spans="1:6" x14ac:dyDescent="0.6">
      <c r="A7" s="30" t="s">
        <v>56</v>
      </c>
      <c r="B7" s="30" t="s">
        <v>62</v>
      </c>
      <c r="C7" s="42">
        <v>0</v>
      </c>
      <c r="D7" s="42">
        <v>0</v>
      </c>
      <c r="E7" s="42">
        <v>0</v>
      </c>
      <c r="F7" s="74">
        <f>SUM(C7:E7)/100000</f>
        <v>0</v>
      </c>
    </row>
    <row r="8" spans="1:6" x14ac:dyDescent="0.6">
      <c r="A8" s="30" t="s">
        <v>59</v>
      </c>
      <c r="B8" s="30" t="s">
        <v>63</v>
      </c>
      <c r="C8" s="42">
        <v>0</v>
      </c>
      <c r="D8" s="42">
        <v>0</v>
      </c>
      <c r="E8" s="42">
        <v>0</v>
      </c>
      <c r="F8" s="74">
        <f>SUM(C8:E8)/100000</f>
        <v>0</v>
      </c>
    </row>
    <row r="9" spans="1:6" x14ac:dyDescent="0.6">
      <c r="A9" s="30"/>
      <c r="B9" s="136" t="s">
        <v>8</v>
      </c>
      <c r="C9" s="136"/>
      <c r="D9" s="136"/>
      <c r="E9" s="136"/>
      <c r="F9" s="73">
        <f>SUM(F6:F8)</f>
        <v>62</v>
      </c>
    </row>
    <row r="11" spans="1:6" s="1" customFormat="1" x14ac:dyDescent="0.6">
      <c r="A11" s="111"/>
      <c r="B11" s="111" t="s">
        <v>66</v>
      </c>
      <c r="C11" s="112">
        <v>0.1</v>
      </c>
      <c r="D11" s="112">
        <v>0.15</v>
      </c>
      <c r="E11" s="112">
        <v>0.1</v>
      </c>
      <c r="F11" s="111" t="s">
        <v>162</v>
      </c>
    </row>
    <row r="12" spans="1:6" x14ac:dyDescent="0.6">
      <c r="A12" s="75" t="s">
        <v>67</v>
      </c>
      <c r="B12" s="76">
        <v>1</v>
      </c>
      <c r="C12" s="77">
        <f>C11*C6</f>
        <v>0</v>
      </c>
      <c r="D12" s="77">
        <f>D11*D6</f>
        <v>930000</v>
      </c>
      <c r="E12" s="77">
        <f>E11*(E6+E8)</f>
        <v>0</v>
      </c>
      <c r="F12" s="77">
        <f>SUM(C12:E12)</f>
        <v>930000</v>
      </c>
    </row>
    <row r="13" spans="1:6" x14ac:dyDescent="0.6">
      <c r="A13" s="75" t="s">
        <v>67</v>
      </c>
      <c r="B13" s="76">
        <v>2</v>
      </c>
      <c r="C13" s="77">
        <f>(C6-C12)*C11</f>
        <v>0</v>
      </c>
      <c r="D13" s="77">
        <f>(D6-D12)*D11</f>
        <v>790500</v>
      </c>
      <c r="E13" s="77">
        <f>(E6+E8-E12)*E11</f>
        <v>0</v>
      </c>
      <c r="F13" s="77">
        <f>SUM(C13:E13)</f>
        <v>790500</v>
      </c>
    </row>
    <row r="14" spans="1:6" x14ac:dyDescent="0.6">
      <c r="A14" s="75" t="s">
        <v>67</v>
      </c>
      <c r="B14" s="76">
        <v>3</v>
      </c>
      <c r="C14" s="77">
        <f>(C6-C12-C13)*C11</f>
        <v>0</v>
      </c>
      <c r="D14" s="77">
        <f>(D6-D12-D13)*D11</f>
        <v>671925</v>
      </c>
      <c r="E14" s="77">
        <f>(E6+E8-E12-E13)*E11</f>
        <v>0</v>
      </c>
      <c r="F14" s="77">
        <f t="shared" ref="F14:F20" si="0">SUM(C14:E14)</f>
        <v>671925</v>
      </c>
    </row>
    <row r="15" spans="1:6" x14ac:dyDescent="0.6">
      <c r="A15" s="75" t="s">
        <v>67</v>
      </c>
      <c r="B15" s="76">
        <v>4</v>
      </c>
      <c r="C15" s="77">
        <f>(C6-C12-C13-C14)*C11</f>
        <v>0</v>
      </c>
      <c r="D15" s="77">
        <f>(D6-D12-D13-D14)*D11</f>
        <v>571136.25</v>
      </c>
      <c r="E15" s="77">
        <f>(E6+E8-E12-E13-E14)*E11</f>
        <v>0</v>
      </c>
      <c r="F15" s="77">
        <f t="shared" si="0"/>
        <v>571136.25</v>
      </c>
    </row>
    <row r="16" spans="1:6" x14ac:dyDescent="0.6">
      <c r="A16" s="75" t="s">
        <v>67</v>
      </c>
      <c r="B16" s="76">
        <v>5</v>
      </c>
      <c r="C16" s="77">
        <f>(C6-C12-C13-C14-C15)*C11</f>
        <v>0</v>
      </c>
      <c r="D16" s="77">
        <f>(D6-D12-D13-D14-D15)*D11</f>
        <v>485465.8125</v>
      </c>
      <c r="E16" s="77">
        <f>(E6+E8-E12-E13-E14-E15)*E11</f>
        <v>0</v>
      </c>
      <c r="F16" s="77">
        <f t="shared" si="0"/>
        <v>485465.8125</v>
      </c>
    </row>
    <row r="17" spans="1:6" x14ac:dyDescent="0.6">
      <c r="A17" s="75" t="s">
        <v>67</v>
      </c>
      <c r="B17" s="76">
        <v>6</v>
      </c>
      <c r="C17" s="77">
        <f>(C6-C12-C13-C14-C15-C16)*C11</f>
        <v>0</v>
      </c>
      <c r="D17" s="77">
        <f>(D6-D12-D13-D14-D15-D16)*D11</f>
        <v>412645.94062499999</v>
      </c>
      <c r="E17" s="77">
        <f>(E6+E8-E12-E13-E14-E15-E16)*E11</f>
        <v>0</v>
      </c>
      <c r="F17" s="77">
        <f t="shared" si="0"/>
        <v>412645.94062499999</v>
      </c>
    </row>
    <row r="18" spans="1:6" x14ac:dyDescent="0.6">
      <c r="A18" s="75" t="s">
        <v>67</v>
      </c>
      <c r="B18" s="76">
        <v>7</v>
      </c>
      <c r="C18" s="77">
        <f>(C6-C12-C13-C14-C15-C16-C17)*C11</f>
        <v>0</v>
      </c>
      <c r="D18" s="77">
        <f>(D6-D12-D13-D14-D15-D16-D17)*D11</f>
        <v>350749.04953125003</v>
      </c>
      <c r="E18" s="77">
        <f>(E6+E8-E12-E13-E14-E15-E16-E17)*E11</f>
        <v>0</v>
      </c>
      <c r="F18" s="77">
        <f t="shared" si="0"/>
        <v>350749.04953125003</v>
      </c>
    </row>
    <row r="19" spans="1:6" x14ac:dyDescent="0.6">
      <c r="A19" s="75" t="s">
        <v>67</v>
      </c>
      <c r="B19" s="76">
        <v>8</v>
      </c>
      <c r="C19" s="77">
        <f>(C6-C12-C13-C14-C15-C16-C17-C18)*C11</f>
        <v>0</v>
      </c>
      <c r="D19" s="77">
        <f>(D6-D12-D13-D14-D15-D16-D17-D18)*D11</f>
        <v>298136.69210156251</v>
      </c>
      <c r="E19" s="77">
        <f>(E6+E8-E12-E13-E14-E15-E16-E17-E18)*E11</f>
        <v>0</v>
      </c>
      <c r="F19" s="77">
        <f t="shared" si="0"/>
        <v>298136.69210156251</v>
      </c>
    </row>
    <row r="20" spans="1:6" x14ac:dyDescent="0.6">
      <c r="A20" s="75" t="s">
        <v>67</v>
      </c>
      <c r="B20" s="76">
        <v>9</v>
      </c>
      <c r="C20" s="77">
        <f>(C6-C12-C13-C14-C15-C16-C17-C18-C19)*C11</f>
        <v>0</v>
      </c>
      <c r="D20" s="77">
        <f>(D6-D12-D13-D14-D15-D16-D17-D18-D19)*D11</f>
        <v>253416.18828632811</v>
      </c>
      <c r="E20" s="77">
        <f>(E6+E8-E12-E13-E14-E15-E16-E17-E18-E19)*E11</f>
        <v>0</v>
      </c>
      <c r="F20" s="77">
        <f t="shared" si="0"/>
        <v>253416.18828632811</v>
      </c>
    </row>
    <row r="21" spans="1:6" x14ac:dyDescent="0.6">
      <c r="B21" s="21"/>
    </row>
    <row r="22" spans="1:6" x14ac:dyDescent="0.6">
      <c r="A22" s="78"/>
    </row>
  </sheetData>
  <mergeCells count="1">
    <mergeCell ref="B9:E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Ann 1</vt:lpstr>
      <vt:lpstr>Ann 2</vt:lpstr>
      <vt:lpstr>Ann 3</vt:lpstr>
      <vt:lpstr>Ann 4</vt:lpstr>
      <vt:lpstr>Ann 5</vt:lpstr>
      <vt:lpstr>Ann 6</vt:lpstr>
      <vt:lpstr>Ann 8</vt:lpstr>
      <vt:lpstr>Ann 9</vt:lpstr>
      <vt:lpstr>Ann 10</vt:lpstr>
      <vt:lpstr>Ann 11</vt:lpstr>
      <vt:lpstr>Ann 12</vt:lpstr>
      <vt:lpstr>Ann 13</vt:lpstr>
      <vt:lpstr>Ann 14</vt:lpstr>
      <vt:lpstr>Budgets</vt:lpstr>
      <vt:lpstr>For word file</vt:lpstr>
      <vt:lpstr>Assumptions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Navodita Arya</dc:creator>
  <cp:lastModifiedBy>Navodita Arya</cp:lastModifiedBy>
  <cp:lastPrinted>2021-08-18T09:53:30Z</cp:lastPrinted>
  <dcterms:created xsi:type="dcterms:W3CDTF">2021-07-04T07:21:16Z</dcterms:created>
  <dcterms:modified xsi:type="dcterms:W3CDTF">2021-11-29T06:47:55Z</dcterms:modified>
</cp:coreProperties>
</file>